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tuart\Desktop\condition assesment spreadsheet\"/>
    </mc:Choice>
  </mc:AlternateContent>
  <xr:revisionPtr revIDLastSave="0" documentId="13_ncr:1_{7E12D80F-A48D-400F-A8B2-9F355AC6E70A}" xr6:coauthVersionLast="47" xr6:coauthVersionMax="47" xr10:uidLastSave="{00000000-0000-0000-0000-000000000000}"/>
  <workbookProtection workbookPassword="FE3F" lockStructure="1"/>
  <bookViews>
    <workbookView xWindow="-120" yWindow="-120" windowWidth="29040" windowHeight="15720" activeTab="2" xr2:uid="{00000000-000D-0000-FFFF-FFFF00000000}"/>
  </bookViews>
  <sheets>
    <sheet name="Dashboard" sheetId="1" r:id="rId1"/>
    <sheet name="Failure Curve" sheetId="2" r:id="rId2"/>
    <sheet name="User Guide" sheetId="3" r:id="rId3"/>
    <sheet name="Calc Engine" sheetId="4" state="veryHidden" r:id="rId4"/>
    <sheet name="Assumptions &amp; Method" sheetId="5" state="veryHidden" r:id="rId5"/>
    <sheet name="Material Assumptions" sheetId="6" state="veryHidden" r:id="rId6"/>
    <sheet name="Velocity Reference" sheetId="7" state="veryHidden" r:id="rId7"/>
    <sheet name="Source Velocity Tables" sheetId="8" state="veryHidden" r:id="rId8"/>
    <sheet name="Source Metallic Pipes" sheetId="9" state="veryHidden" r:id="rId9"/>
    <sheet name="Unit Selection" sheetId="10" state="veryHidden" r:id="rId10"/>
    <sheet name="Audit &amp; Validation" sheetId="11" state="veryHidden" r:id="rId11"/>
    <sheet name="Velocity QA"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9" i="11" l="1"/>
  <c r="E149" i="11" s="1"/>
  <c r="B148" i="11"/>
  <c r="E148" i="11" s="1"/>
  <c r="B147" i="11"/>
  <c r="E147" i="11" s="1"/>
  <c r="B146" i="11"/>
  <c r="E146" i="11" s="1"/>
  <c r="E7" i="10"/>
  <c r="B4" i="10"/>
  <c r="N300" i="7"/>
  <c r="O300" i="7" s="1"/>
  <c r="L300" i="7"/>
  <c r="M300" i="7" s="1"/>
  <c r="R299" i="7"/>
  <c r="Q299" i="7"/>
  <c r="N299" i="7"/>
  <c r="O299" i="7" s="1"/>
  <c r="L299" i="7"/>
  <c r="M299" i="7" s="1"/>
  <c r="R298" i="7"/>
  <c r="Q298" i="7"/>
  <c r="N298" i="7"/>
  <c r="O298" i="7" s="1"/>
  <c r="L298" i="7"/>
  <c r="M298" i="7" s="1"/>
  <c r="R297" i="7"/>
  <c r="Q297" i="7"/>
  <c r="N297" i="7"/>
  <c r="O297" i="7" s="1"/>
  <c r="L297" i="7"/>
  <c r="M297" i="7" s="1"/>
  <c r="R296" i="7"/>
  <c r="Q296" i="7"/>
  <c r="N296" i="7"/>
  <c r="O296" i="7" s="1"/>
  <c r="L296" i="7"/>
  <c r="M296" i="7" s="1"/>
  <c r="R295" i="7"/>
  <c r="Q295" i="7"/>
  <c r="N295" i="7"/>
  <c r="O295" i="7" s="1"/>
  <c r="L295" i="7"/>
  <c r="M295" i="7" s="1"/>
  <c r="R294" i="7"/>
  <c r="Q294" i="7"/>
  <c r="N294" i="7"/>
  <c r="O294" i="7" s="1"/>
  <c r="L294" i="7"/>
  <c r="M294" i="7" s="1"/>
  <c r="R293" i="7"/>
  <c r="Q293" i="7"/>
  <c r="N293" i="7"/>
  <c r="O293" i="7" s="1"/>
  <c r="L293" i="7"/>
  <c r="M293" i="7" s="1"/>
  <c r="R292" i="7"/>
  <c r="Q292" i="7"/>
  <c r="N292" i="7"/>
  <c r="O292" i="7" s="1"/>
  <c r="L292" i="7"/>
  <c r="M292" i="7" s="1"/>
  <c r="R291" i="7"/>
  <c r="Q291" i="7"/>
  <c r="N291" i="7"/>
  <c r="O291" i="7" s="1"/>
  <c r="L291" i="7"/>
  <c r="M291" i="7" s="1"/>
  <c r="N290" i="7"/>
  <c r="O290" i="7" s="1"/>
  <c r="L290" i="7"/>
  <c r="M290" i="7" s="1"/>
  <c r="N289" i="7"/>
  <c r="O289" i="7" s="1"/>
  <c r="L289" i="7"/>
  <c r="M289" i="7" s="1"/>
  <c r="N288" i="7"/>
  <c r="O288" i="7" s="1"/>
  <c r="L288" i="7"/>
  <c r="M288" i="7" s="1"/>
  <c r="N287" i="7"/>
  <c r="O287" i="7" s="1"/>
  <c r="L287" i="7"/>
  <c r="M287" i="7" s="1"/>
  <c r="N286" i="7"/>
  <c r="O286" i="7" s="1"/>
  <c r="L286" i="7"/>
  <c r="M286" i="7" s="1"/>
  <c r="N285" i="7"/>
  <c r="O285" i="7" s="1"/>
  <c r="L285" i="7"/>
  <c r="M285" i="7" s="1"/>
  <c r="N284" i="7"/>
  <c r="O284" i="7" s="1"/>
  <c r="L284" i="7"/>
  <c r="M284" i="7" s="1"/>
  <c r="N283" i="7"/>
  <c r="O283" i="7" s="1"/>
  <c r="L283" i="7"/>
  <c r="M283" i="7" s="1"/>
  <c r="N282" i="7"/>
  <c r="O282" i="7" s="1"/>
  <c r="L282" i="7"/>
  <c r="M282" i="7" s="1"/>
  <c r="N281" i="7"/>
  <c r="O281" i="7" s="1"/>
  <c r="L281" i="7"/>
  <c r="M281" i="7" s="1"/>
  <c r="N280" i="7"/>
  <c r="O280" i="7" s="1"/>
  <c r="L280" i="7"/>
  <c r="M280" i="7" s="1"/>
  <c r="N279" i="7"/>
  <c r="O279" i="7" s="1"/>
  <c r="L279" i="7"/>
  <c r="M279" i="7" s="1"/>
  <c r="N278" i="7"/>
  <c r="O278" i="7" s="1"/>
  <c r="L278" i="7"/>
  <c r="M278" i="7" s="1"/>
  <c r="N277" i="7"/>
  <c r="O277" i="7" s="1"/>
  <c r="L277" i="7"/>
  <c r="M277" i="7" s="1"/>
  <c r="N276" i="7"/>
  <c r="O276" i="7" s="1"/>
  <c r="L276" i="7"/>
  <c r="M276" i="7" s="1"/>
  <c r="N275" i="7"/>
  <c r="O275" i="7" s="1"/>
  <c r="L275" i="7"/>
  <c r="N274" i="7"/>
  <c r="O274" i="7" s="1"/>
  <c r="L274" i="7"/>
  <c r="M274" i="7" s="1"/>
  <c r="N273" i="7"/>
  <c r="O273" i="7" s="1"/>
  <c r="L273" i="7"/>
  <c r="M273" i="7" s="1"/>
  <c r="N272" i="7"/>
  <c r="O272" i="7" s="1"/>
  <c r="L272" i="7"/>
  <c r="M272" i="7" s="1"/>
  <c r="N271" i="7"/>
  <c r="O271" i="7" s="1"/>
  <c r="L271" i="7"/>
  <c r="M271" i="7" s="1"/>
  <c r="N270" i="7"/>
  <c r="O270" i="7" s="1"/>
  <c r="L270" i="7"/>
  <c r="M270" i="7" s="1"/>
  <c r="N269" i="7"/>
  <c r="O269" i="7" s="1"/>
  <c r="L269" i="7"/>
  <c r="M269" i="7" s="1"/>
  <c r="O268" i="7"/>
  <c r="N268" i="7"/>
  <c r="L268" i="7"/>
  <c r="M268" i="7" s="1"/>
  <c r="N267" i="7"/>
  <c r="O267" i="7" s="1"/>
  <c r="L267" i="7"/>
  <c r="M267" i="7" s="1"/>
  <c r="N266" i="7"/>
  <c r="O266" i="7" s="1"/>
  <c r="L266" i="7"/>
  <c r="M266" i="7" s="1"/>
  <c r="N265" i="7"/>
  <c r="O265" i="7" s="1"/>
  <c r="L265" i="7"/>
  <c r="M265" i="7" s="1"/>
  <c r="N264" i="7"/>
  <c r="O264" i="7" s="1"/>
  <c r="L264" i="7"/>
  <c r="M264" i="7" s="1"/>
  <c r="N263" i="7"/>
  <c r="O263" i="7" s="1"/>
  <c r="L263" i="7"/>
  <c r="M263" i="7" s="1"/>
  <c r="N262" i="7"/>
  <c r="O262" i="7" s="1"/>
  <c r="L262" i="7"/>
  <c r="M262" i="7" s="1"/>
  <c r="N261" i="7"/>
  <c r="O261" i="7" s="1"/>
  <c r="L261" i="7"/>
  <c r="M261" i="7" s="1"/>
  <c r="N260" i="7"/>
  <c r="O260" i="7" s="1"/>
  <c r="L260" i="7"/>
  <c r="M260" i="7" s="1"/>
  <c r="N259" i="7"/>
  <c r="O259" i="7" s="1"/>
  <c r="L259" i="7"/>
  <c r="M259" i="7" s="1"/>
  <c r="N258" i="7"/>
  <c r="O258" i="7" s="1"/>
  <c r="L258" i="7"/>
  <c r="M258" i="7" s="1"/>
  <c r="N257" i="7"/>
  <c r="O257" i="7" s="1"/>
  <c r="L257" i="7"/>
  <c r="M257" i="7" s="1"/>
  <c r="N256" i="7"/>
  <c r="O256" i="7" s="1"/>
  <c r="L256" i="7"/>
  <c r="M256" i="7" s="1"/>
  <c r="N255" i="7"/>
  <c r="L255" i="7"/>
  <c r="M255" i="7" s="1"/>
  <c r="N254" i="7"/>
  <c r="O254" i="7" s="1"/>
  <c r="L254" i="7"/>
  <c r="M254" i="7" s="1"/>
  <c r="N253" i="7"/>
  <c r="O253" i="7" s="1"/>
  <c r="L253" i="7"/>
  <c r="M253" i="7" s="1"/>
  <c r="N252" i="7"/>
  <c r="O252" i="7" s="1"/>
  <c r="L252" i="7"/>
  <c r="M252" i="7" s="1"/>
  <c r="N251" i="7"/>
  <c r="O251" i="7" s="1"/>
  <c r="L251" i="7"/>
  <c r="M251" i="7" s="1"/>
  <c r="N250" i="7"/>
  <c r="O250" i="7" s="1"/>
  <c r="L250" i="7"/>
  <c r="M250" i="7" s="1"/>
  <c r="N249" i="7"/>
  <c r="O249" i="7" s="1"/>
  <c r="L249" i="7"/>
  <c r="M249" i="7" s="1"/>
  <c r="N248" i="7"/>
  <c r="O248" i="7" s="1"/>
  <c r="L248" i="7"/>
  <c r="M248" i="7" s="1"/>
  <c r="N247" i="7"/>
  <c r="O247" i="7" s="1"/>
  <c r="L247" i="7"/>
  <c r="M247" i="7" s="1"/>
  <c r="N246" i="7"/>
  <c r="O246" i="7" s="1"/>
  <c r="L246" i="7"/>
  <c r="M246" i="7" s="1"/>
  <c r="N245" i="7"/>
  <c r="O245" i="7" s="1"/>
  <c r="L245" i="7"/>
  <c r="M245" i="7" s="1"/>
  <c r="N244" i="7"/>
  <c r="O244" i="7" s="1"/>
  <c r="L244" i="7"/>
  <c r="M244" i="7" s="1"/>
  <c r="N243" i="7"/>
  <c r="O243" i="7" s="1"/>
  <c r="L243" i="7"/>
  <c r="M243" i="7" s="1"/>
  <c r="N242" i="7"/>
  <c r="O242" i="7" s="1"/>
  <c r="L242" i="7"/>
  <c r="M242" i="7" s="1"/>
  <c r="N241" i="7"/>
  <c r="O241" i="7" s="1"/>
  <c r="L241" i="7"/>
  <c r="M241" i="7" s="1"/>
  <c r="N240" i="7"/>
  <c r="O240" i="7" s="1"/>
  <c r="L240" i="7"/>
  <c r="M240" i="7" s="1"/>
  <c r="N239" i="7"/>
  <c r="O239" i="7" s="1"/>
  <c r="L239" i="7"/>
  <c r="N238" i="7"/>
  <c r="O238" i="7" s="1"/>
  <c r="L238" i="7"/>
  <c r="M238" i="7" s="1"/>
  <c r="N237" i="7"/>
  <c r="O237" i="7" s="1"/>
  <c r="L237" i="7"/>
  <c r="M237" i="7" s="1"/>
  <c r="N236" i="7"/>
  <c r="O236" i="7" s="1"/>
  <c r="L236" i="7"/>
  <c r="M236" i="7" s="1"/>
  <c r="N235" i="7"/>
  <c r="O235" i="7" s="1"/>
  <c r="L235" i="7"/>
  <c r="M235" i="7" s="1"/>
  <c r="N234" i="7"/>
  <c r="O234" i="7" s="1"/>
  <c r="L234" i="7"/>
  <c r="M234" i="7" s="1"/>
  <c r="N233" i="7"/>
  <c r="O233" i="7" s="1"/>
  <c r="L233" i="7"/>
  <c r="M233" i="7" s="1"/>
  <c r="N232" i="7"/>
  <c r="O232" i="7" s="1"/>
  <c r="L232" i="7"/>
  <c r="M232" i="7" s="1"/>
  <c r="N231" i="7"/>
  <c r="O231" i="7" s="1"/>
  <c r="L231" i="7"/>
  <c r="M231" i="7" s="1"/>
  <c r="N230" i="7"/>
  <c r="O230" i="7" s="1"/>
  <c r="L230" i="7"/>
  <c r="M230" i="7" s="1"/>
  <c r="N229" i="7"/>
  <c r="O229" i="7" s="1"/>
  <c r="L229" i="7"/>
  <c r="M229" i="7" s="1"/>
  <c r="N228" i="7"/>
  <c r="O228" i="7" s="1"/>
  <c r="L228" i="7"/>
  <c r="M228" i="7" s="1"/>
  <c r="N227" i="7"/>
  <c r="O227" i="7" s="1"/>
  <c r="L227" i="7"/>
  <c r="M227" i="7" s="1"/>
  <c r="N226" i="7"/>
  <c r="O226" i="7" s="1"/>
  <c r="L226" i="7"/>
  <c r="M226" i="7" s="1"/>
  <c r="N225" i="7"/>
  <c r="O225" i="7" s="1"/>
  <c r="L225" i="7"/>
  <c r="M225" i="7" s="1"/>
  <c r="N224" i="7"/>
  <c r="O224" i="7" s="1"/>
  <c r="L224" i="7"/>
  <c r="M224" i="7" s="1"/>
  <c r="N223" i="7"/>
  <c r="O223" i="7" s="1"/>
  <c r="L223" i="7"/>
  <c r="M223" i="7" s="1"/>
  <c r="N222" i="7"/>
  <c r="O222" i="7" s="1"/>
  <c r="L222" i="7"/>
  <c r="M222" i="7" s="1"/>
  <c r="N221" i="7"/>
  <c r="O221" i="7" s="1"/>
  <c r="L221" i="7"/>
  <c r="M221" i="7" s="1"/>
  <c r="N220" i="7"/>
  <c r="O220" i="7" s="1"/>
  <c r="L220" i="7"/>
  <c r="M220" i="7" s="1"/>
  <c r="N219" i="7"/>
  <c r="O219" i="7" s="1"/>
  <c r="L219" i="7"/>
  <c r="M219" i="7" s="1"/>
  <c r="N218" i="7"/>
  <c r="O218" i="7" s="1"/>
  <c r="L218" i="7"/>
  <c r="M218" i="7" s="1"/>
  <c r="N217" i="7"/>
  <c r="O217" i="7" s="1"/>
  <c r="L217" i="7"/>
  <c r="M217" i="7" s="1"/>
  <c r="N216" i="7"/>
  <c r="O216" i="7" s="1"/>
  <c r="L216" i="7"/>
  <c r="M216" i="7" s="1"/>
  <c r="N215" i="7"/>
  <c r="O215" i="7" s="1"/>
  <c r="L215" i="7"/>
  <c r="M215" i="7" s="1"/>
  <c r="N214" i="7"/>
  <c r="O214" i="7" s="1"/>
  <c r="L214" i="7"/>
  <c r="M214" i="7" s="1"/>
  <c r="N213" i="7"/>
  <c r="O213" i="7" s="1"/>
  <c r="L213" i="7"/>
  <c r="M213" i="7" s="1"/>
  <c r="N212" i="7"/>
  <c r="O212" i="7" s="1"/>
  <c r="L212" i="7"/>
  <c r="M212" i="7" s="1"/>
  <c r="N211" i="7"/>
  <c r="O211" i="7" s="1"/>
  <c r="L211" i="7"/>
  <c r="M211" i="7" s="1"/>
  <c r="N210" i="7"/>
  <c r="O210" i="7" s="1"/>
  <c r="L210" i="7"/>
  <c r="M210" i="7" s="1"/>
  <c r="N209" i="7"/>
  <c r="O209" i="7" s="1"/>
  <c r="L209" i="7"/>
  <c r="M209" i="7" s="1"/>
  <c r="N208" i="7"/>
  <c r="O208" i="7" s="1"/>
  <c r="L208" i="7"/>
  <c r="M208" i="7" s="1"/>
  <c r="N207" i="7"/>
  <c r="O207" i="7" s="1"/>
  <c r="L207" i="7"/>
  <c r="M207" i="7" s="1"/>
  <c r="N206" i="7"/>
  <c r="O206" i="7" s="1"/>
  <c r="L206" i="7"/>
  <c r="M206" i="7" s="1"/>
  <c r="N205" i="7"/>
  <c r="O205" i="7" s="1"/>
  <c r="L205" i="7"/>
  <c r="M205" i="7" s="1"/>
  <c r="N204" i="7"/>
  <c r="O204" i="7" s="1"/>
  <c r="L204" i="7"/>
  <c r="M204" i="7" s="1"/>
  <c r="N203" i="7"/>
  <c r="O203" i="7" s="1"/>
  <c r="L203" i="7"/>
  <c r="M203" i="7" s="1"/>
  <c r="N202" i="7"/>
  <c r="O202" i="7" s="1"/>
  <c r="L202" i="7"/>
  <c r="M202" i="7" s="1"/>
  <c r="N201" i="7"/>
  <c r="O201" i="7" s="1"/>
  <c r="L201" i="7"/>
  <c r="M201" i="7" s="1"/>
  <c r="N200" i="7"/>
  <c r="O200" i="7" s="1"/>
  <c r="L200" i="7"/>
  <c r="M200" i="7" s="1"/>
  <c r="N199" i="7"/>
  <c r="O199" i="7" s="1"/>
  <c r="L199" i="7"/>
  <c r="M199" i="7" s="1"/>
  <c r="N198" i="7"/>
  <c r="O198" i="7" s="1"/>
  <c r="L198" i="7"/>
  <c r="M198" i="7" s="1"/>
  <c r="N197" i="7"/>
  <c r="O197" i="7" s="1"/>
  <c r="L197" i="7"/>
  <c r="M197" i="7" s="1"/>
  <c r="N196" i="7"/>
  <c r="O196" i="7" s="1"/>
  <c r="L196" i="7"/>
  <c r="M196" i="7" s="1"/>
  <c r="N195" i="7"/>
  <c r="O195" i="7" s="1"/>
  <c r="L195" i="7"/>
  <c r="M195" i="7" s="1"/>
  <c r="N194" i="7"/>
  <c r="O194" i="7" s="1"/>
  <c r="L194" i="7"/>
  <c r="M194" i="7" s="1"/>
  <c r="N193" i="7"/>
  <c r="O193" i="7" s="1"/>
  <c r="L193" i="7"/>
  <c r="M193" i="7" s="1"/>
  <c r="N192" i="7"/>
  <c r="O192" i="7" s="1"/>
  <c r="L192" i="7"/>
  <c r="M192" i="7" s="1"/>
  <c r="N191" i="7"/>
  <c r="O191" i="7" s="1"/>
  <c r="L191" i="7"/>
  <c r="M191" i="7" s="1"/>
  <c r="N190" i="7"/>
  <c r="O190" i="7" s="1"/>
  <c r="L190" i="7"/>
  <c r="M190" i="7" s="1"/>
  <c r="N189" i="7"/>
  <c r="O189" i="7" s="1"/>
  <c r="L189" i="7"/>
  <c r="M189" i="7" s="1"/>
  <c r="N188" i="7"/>
  <c r="O188" i="7" s="1"/>
  <c r="L188" i="7"/>
  <c r="M188" i="7" s="1"/>
  <c r="N187" i="7"/>
  <c r="O187" i="7" s="1"/>
  <c r="L187" i="7"/>
  <c r="M187" i="7" s="1"/>
  <c r="N186" i="7"/>
  <c r="O186" i="7" s="1"/>
  <c r="L186" i="7"/>
  <c r="M186" i="7" s="1"/>
  <c r="N185" i="7"/>
  <c r="O185" i="7" s="1"/>
  <c r="L185" i="7"/>
  <c r="M185" i="7" s="1"/>
  <c r="N184" i="7"/>
  <c r="O184" i="7" s="1"/>
  <c r="L184" i="7"/>
  <c r="M184" i="7" s="1"/>
  <c r="N183" i="7"/>
  <c r="O183" i="7" s="1"/>
  <c r="L183" i="7"/>
  <c r="M183" i="7" s="1"/>
  <c r="N182" i="7"/>
  <c r="O182" i="7" s="1"/>
  <c r="L182" i="7"/>
  <c r="N181" i="7"/>
  <c r="O181" i="7" s="1"/>
  <c r="L181" i="7"/>
  <c r="M181" i="7" s="1"/>
  <c r="N180" i="7"/>
  <c r="O180" i="7" s="1"/>
  <c r="L180" i="7"/>
  <c r="M180" i="7" s="1"/>
  <c r="N179" i="7"/>
  <c r="O179" i="7" s="1"/>
  <c r="L179" i="7"/>
  <c r="N178" i="7"/>
  <c r="O178" i="7" s="1"/>
  <c r="L178" i="7"/>
  <c r="N177" i="7"/>
  <c r="O177" i="7" s="1"/>
  <c r="L177" i="7"/>
  <c r="M177" i="7" s="1"/>
  <c r="N176" i="7"/>
  <c r="O176" i="7" s="1"/>
  <c r="L176" i="7"/>
  <c r="M176" i="7" s="1"/>
  <c r="N175" i="7"/>
  <c r="O175" i="7" s="1"/>
  <c r="L175" i="7"/>
  <c r="M175" i="7" s="1"/>
  <c r="N174" i="7"/>
  <c r="O174" i="7" s="1"/>
  <c r="L174" i="7"/>
  <c r="M174" i="7" s="1"/>
  <c r="N173" i="7"/>
  <c r="O173" i="7" s="1"/>
  <c r="L173" i="7"/>
  <c r="M173" i="7" s="1"/>
  <c r="N172" i="7"/>
  <c r="O172" i="7" s="1"/>
  <c r="L172" i="7"/>
  <c r="M172" i="7" s="1"/>
  <c r="N171" i="7"/>
  <c r="O171" i="7" s="1"/>
  <c r="L171" i="7"/>
  <c r="M171" i="7" s="1"/>
  <c r="N170" i="7"/>
  <c r="O170" i="7" s="1"/>
  <c r="L170" i="7"/>
  <c r="M170" i="7" s="1"/>
  <c r="N169" i="7"/>
  <c r="O169" i="7" s="1"/>
  <c r="L169" i="7"/>
  <c r="M169" i="7" s="1"/>
  <c r="N168" i="7"/>
  <c r="O168" i="7" s="1"/>
  <c r="L168" i="7"/>
  <c r="M168" i="7" s="1"/>
  <c r="N167" i="7"/>
  <c r="O167" i="7" s="1"/>
  <c r="L167" i="7"/>
  <c r="M167" i="7" s="1"/>
  <c r="N166" i="7"/>
  <c r="O166" i="7" s="1"/>
  <c r="L166" i="7"/>
  <c r="M166" i="7" s="1"/>
  <c r="N165" i="7"/>
  <c r="O165" i="7" s="1"/>
  <c r="L165" i="7"/>
  <c r="M165" i="7" s="1"/>
  <c r="N164" i="7"/>
  <c r="O164" i="7" s="1"/>
  <c r="L164" i="7"/>
  <c r="M164" i="7" s="1"/>
  <c r="N163" i="7"/>
  <c r="O163" i="7" s="1"/>
  <c r="L163" i="7"/>
  <c r="M163" i="7" s="1"/>
  <c r="N162" i="7"/>
  <c r="O162" i="7" s="1"/>
  <c r="L162" i="7"/>
  <c r="M162" i="7" s="1"/>
  <c r="N161" i="7"/>
  <c r="O161" i="7" s="1"/>
  <c r="L161" i="7"/>
  <c r="M161" i="7" s="1"/>
  <c r="N160" i="7"/>
  <c r="O160" i="7" s="1"/>
  <c r="L160" i="7"/>
  <c r="M160" i="7" s="1"/>
  <c r="N159" i="7"/>
  <c r="O159" i="7" s="1"/>
  <c r="L159" i="7"/>
  <c r="M159" i="7" s="1"/>
  <c r="N158" i="7"/>
  <c r="O158" i="7" s="1"/>
  <c r="L158" i="7"/>
  <c r="M158" i="7" s="1"/>
  <c r="N157" i="7"/>
  <c r="O157" i="7" s="1"/>
  <c r="L157" i="7"/>
  <c r="M157" i="7" s="1"/>
  <c r="N156" i="7"/>
  <c r="O156" i="7" s="1"/>
  <c r="L156" i="7"/>
  <c r="M156" i="7" s="1"/>
  <c r="N155" i="7"/>
  <c r="O155" i="7" s="1"/>
  <c r="L155" i="7"/>
  <c r="M155" i="7" s="1"/>
  <c r="N154" i="7"/>
  <c r="O154" i="7" s="1"/>
  <c r="L154" i="7"/>
  <c r="M154" i="7" s="1"/>
  <c r="N153" i="7"/>
  <c r="O153" i="7" s="1"/>
  <c r="L153" i="7"/>
  <c r="M153" i="7" s="1"/>
  <c r="N152" i="7"/>
  <c r="O152" i="7" s="1"/>
  <c r="L152" i="7"/>
  <c r="M152" i="7" s="1"/>
  <c r="N151" i="7"/>
  <c r="O151" i="7" s="1"/>
  <c r="L151" i="7"/>
  <c r="M151" i="7" s="1"/>
  <c r="N150" i="7"/>
  <c r="O150" i="7" s="1"/>
  <c r="L150" i="7"/>
  <c r="M150" i="7" s="1"/>
  <c r="N149" i="7"/>
  <c r="O149" i="7" s="1"/>
  <c r="L149" i="7"/>
  <c r="M149" i="7" s="1"/>
  <c r="N148" i="7"/>
  <c r="O148" i="7" s="1"/>
  <c r="L148" i="7"/>
  <c r="M148" i="7" s="1"/>
  <c r="N147" i="7"/>
  <c r="O147" i="7" s="1"/>
  <c r="L147" i="7"/>
  <c r="M147" i="7" s="1"/>
  <c r="N146" i="7"/>
  <c r="O146" i="7" s="1"/>
  <c r="L146" i="7"/>
  <c r="M146" i="7" s="1"/>
  <c r="N145" i="7"/>
  <c r="O145" i="7" s="1"/>
  <c r="L145" i="7"/>
  <c r="M145" i="7" s="1"/>
  <c r="N144" i="7"/>
  <c r="O144" i="7" s="1"/>
  <c r="L144" i="7"/>
  <c r="M144" i="7" s="1"/>
  <c r="N143" i="7"/>
  <c r="O143" i="7" s="1"/>
  <c r="L143" i="7"/>
  <c r="M143" i="7" s="1"/>
  <c r="N142" i="7"/>
  <c r="O142" i="7" s="1"/>
  <c r="L142" i="7"/>
  <c r="M142" i="7" s="1"/>
  <c r="N141" i="7"/>
  <c r="O141" i="7" s="1"/>
  <c r="L141" i="7"/>
  <c r="M141" i="7" s="1"/>
  <c r="N140" i="7"/>
  <c r="O140" i="7" s="1"/>
  <c r="L140" i="7"/>
  <c r="M140" i="7" s="1"/>
  <c r="N139" i="7"/>
  <c r="O139" i="7" s="1"/>
  <c r="L139" i="7"/>
  <c r="M139" i="7" s="1"/>
  <c r="N138" i="7"/>
  <c r="O138" i="7" s="1"/>
  <c r="L138" i="7"/>
  <c r="M138" i="7" s="1"/>
  <c r="N137" i="7"/>
  <c r="O137" i="7" s="1"/>
  <c r="L137" i="7"/>
  <c r="M137" i="7" s="1"/>
  <c r="N136" i="7"/>
  <c r="O136" i="7" s="1"/>
  <c r="L136" i="7"/>
  <c r="M136" i="7" s="1"/>
  <c r="N135" i="7"/>
  <c r="O135" i="7" s="1"/>
  <c r="L135" i="7"/>
  <c r="M135" i="7" s="1"/>
  <c r="N134" i="7"/>
  <c r="O134" i="7" s="1"/>
  <c r="L134" i="7"/>
  <c r="M134" i="7" s="1"/>
  <c r="N133" i="7"/>
  <c r="O133" i="7" s="1"/>
  <c r="L133" i="7"/>
  <c r="M133" i="7" s="1"/>
  <c r="N132" i="7"/>
  <c r="O132" i="7" s="1"/>
  <c r="L132" i="7"/>
  <c r="M132" i="7" s="1"/>
  <c r="N131" i="7"/>
  <c r="O131" i="7" s="1"/>
  <c r="L131" i="7"/>
  <c r="M131" i="7" s="1"/>
  <c r="N130" i="7"/>
  <c r="O130" i="7" s="1"/>
  <c r="L130" i="7"/>
  <c r="N129" i="7"/>
  <c r="O129" i="7" s="1"/>
  <c r="L129" i="7"/>
  <c r="M129" i="7" s="1"/>
  <c r="N128" i="7"/>
  <c r="O128" i="7" s="1"/>
  <c r="L128" i="7"/>
  <c r="M128" i="7" s="1"/>
  <c r="N127" i="7"/>
  <c r="O127" i="7" s="1"/>
  <c r="L127" i="7"/>
  <c r="M127" i="7" s="1"/>
  <c r="N126" i="7"/>
  <c r="O126" i="7" s="1"/>
  <c r="L126" i="7"/>
  <c r="M126" i="7" s="1"/>
  <c r="N125" i="7"/>
  <c r="O125" i="7" s="1"/>
  <c r="L125" i="7"/>
  <c r="M125" i="7" s="1"/>
  <c r="N124" i="7"/>
  <c r="O124" i="7" s="1"/>
  <c r="L124" i="7"/>
  <c r="M124" i="7" s="1"/>
  <c r="N123" i="7"/>
  <c r="O123" i="7" s="1"/>
  <c r="L123" i="7"/>
  <c r="M123" i="7" s="1"/>
  <c r="N122" i="7"/>
  <c r="O122" i="7" s="1"/>
  <c r="L122" i="7"/>
  <c r="M122" i="7" s="1"/>
  <c r="N121" i="7"/>
  <c r="O121" i="7" s="1"/>
  <c r="L121" i="7"/>
  <c r="M121" i="7" s="1"/>
  <c r="N120" i="7"/>
  <c r="O120" i="7" s="1"/>
  <c r="L120" i="7"/>
  <c r="M120" i="7" s="1"/>
  <c r="N119" i="7"/>
  <c r="O119" i="7" s="1"/>
  <c r="L119" i="7"/>
  <c r="M119" i="7" s="1"/>
  <c r="N118" i="7"/>
  <c r="O118" i="7" s="1"/>
  <c r="L118" i="7"/>
  <c r="M118" i="7" s="1"/>
  <c r="N117" i="7"/>
  <c r="O117" i="7" s="1"/>
  <c r="L117" i="7"/>
  <c r="M117" i="7" s="1"/>
  <c r="N116" i="7"/>
  <c r="O116" i="7" s="1"/>
  <c r="L116" i="7"/>
  <c r="M116" i="7" s="1"/>
  <c r="N115" i="7"/>
  <c r="O115" i="7" s="1"/>
  <c r="L115" i="7"/>
  <c r="M115" i="7" s="1"/>
  <c r="N114" i="7"/>
  <c r="O114" i="7" s="1"/>
  <c r="L114" i="7"/>
  <c r="M114" i="7" s="1"/>
  <c r="N113" i="7"/>
  <c r="O113" i="7" s="1"/>
  <c r="L113" i="7"/>
  <c r="M113" i="7" s="1"/>
  <c r="N112" i="7"/>
  <c r="O112" i="7" s="1"/>
  <c r="L112" i="7"/>
  <c r="M112" i="7" s="1"/>
  <c r="N111" i="7"/>
  <c r="O111" i="7" s="1"/>
  <c r="L111" i="7"/>
  <c r="M111" i="7" s="1"/>
  <c r="N110" i="7"/>
  <c r="O110" i="7" s="1"/>
  <c r="L110" i="7"/>
  <c r="M110" i="7" s="1"/>
  <c r="N109" i="7"/>
  <c r="O109" i="7" s="1"/>
  <c r="L109" i="7"/>
  <c r="M109" i="7" s="1"/>
  <c r="N108" i="7"/>
  <c r="O108" i="7" s="1"/>
  <c r="L108" i="7"/>
  <c r="M108" i="7" s="1"/>
  <c r="N107" i="7"/>
  <c r="O107" i="7" s="1"/>
  <c r="L107" i="7"/>
  <c r="M107" i="7" s="1"/>
  <c r="N106" i="7"/>
  <c r="O106" i="7" s="1"/>
  <c r="L106" i="7"/>
  <c r="M106" i="7" s="1"/>
  <c r="N105" i="7"/>
  <c r="O105" i="7" s="1"/>
  <c r="L105" i="7"/>
  <c r="M105" i="7" s="1"/>
  <c r="N104" i="7"/>
  <c r="O104" i="7" s="1"/>
  <c r="L104" i="7"/>
  <c r="M104" i="7" s="1"/>
  <c r="N103" i="7"/>
  <c r="O103" i="7" s="1"/>
  <c r="L103" i="7"/>
  <c r="M103" i="7" s="1"/>
  <c r="N102" i="7"/>
  <c r="O102" i="7" s="1"/>
  <c r="L102" i="7"/>
  <c r="M102" i="7" s="1"/>
  <c r="N101" i="7"/>
  <c r="O101" i="7" s="1"/>
  <c r="L101" i="7"/>
  <c r="M101" i="7" s="1"/>
  <c r="N100" i="7"/>
  <c r="O100" i="7" s="1"/>
  <c r="L100" i="7"/>
  <c r="M100" i="7" s="1"/>
  <c r="N99" i="7"/>
  <c r="O99" i="7" s="1"/>
  <c r="L99" i="7"/>
  <c r="M99" i="7" s="1"/>
  <c r="N98" i="7"/>
  <c r="O98" i="7" s="1"/>
  <c r="L98" i="7"/>
  <c r="M98" i="7" s="1"/>
  <c r="N97" i="7"/>
  <c r="O97" i="7" s="1"/>
  <c r="L97" i="7"/>
  <c r="M97" i="7" s="1"/>
  <c r="N96" i="7"/>
  <c r="O96" i="7" s="1"/>
  <c r="L96" i="7"/>
  <c r="M96" i="7" s="1"/>
  <c r="N95" i="7"/>
  <c r="O95" i="7" s="1"/>
  <c r="L95" i="7"/>
  <c r="M95" i="7" s="1"/>
  <c r="N94" i="7"/>
  <c r="O94" i="7" s="1"/>
  <c r="L94" i="7"/>
  <c r="M94" i="7" s="1"/>
  <c r="N93" i="7"/>
  <c r="O93" i="7" s="1"/>
  <c r="L93" i="7"/>
  <c r="M93" i="7" s="1"/>
  <c r="N92" i="7"/>
  <c r="O92" i="7" s="1"/>
  <c r="L92" i="7"/>
  <c r="M92" i="7" s="1"/>
  <c r="N91" i="7"/>
  <c r="O91" i="7" s="1"/>
  <c r="L91" i="7"/>
  <c r="M91" i="7" s="1"/>
  <c r="N90" i="7"/>
  <c r="O90" i="7" s="1"/>
  <c r="L90" i="7"/>
  <c r="M90" i="7" s="1"/>
  <c r="N89" i="7"/>
  <c r="O89" i="7" s="1"/>
  <c r="L89" i="7"/>
  <c r="M89" i="7" s="1"/>
  <c r="N88" i="7"/>
  <c r="O88" i="7" s="1"/>
  <c r="L88" i="7"/>
  <c r="M88" i="7" s="1"/>
  <c r="N87" i="7"/>
  <c r="L87" i="7"/>
  <c r="M87" i="7" s="1"/>
  <c r="N86" i="7"/>
  <c r="O86" i="7" s="1"/>
  <c r="L86" i="7"/>
  <c r="M86" i="7" s="1"/>
  <c r="N85" i="7"/>
  <c r="O85" i="7" s="1"/>
  <c r="L85" i="7"/>
  <c r="M85" i="7" s="1"/>
  <c r="N84" i="7"/>
  <c r="O84" i="7" s="1"/>
  <c r="L84" i="7"/>
  <c r="M84" i="7" s="1"/>
  <c r="N83" i="7"/>
  <c r="O83" i="7" s="1"/>
  <c r="L83" i="7"/>
  <c r="M83" i="7" s="1"/>
  <c r="N82" i="7"/>
  <c r="O82" i="7" s="1"/>
  <c r="L82" i="7"/>
  <c r="M82" i="7" s="1"/>
  <c r="N81" i="7"/>
  <c r="O81" i="7" s="1"/>
  <c r="L81" i="7"/>
  <c r="M81" i="7" s="1"/>
  <c r="N80" i="7"/>
  <c r="O80" i="7" s="1"/>
  <c r="L80" i="7"/>
  <c r="M80" i="7" s="1"/>
  <c r="N79" i="7"/>
  <c r="O79" i="7" s="1"/>
  <c r="L79" i="7"/>
  <c r="M79" i="7" s="1"/>
  <c r="N78" i="7"/>
  <c r="O78" i="7" s="1"/>
  <c r="L78" i="7"/>
  <c r="M78" i="7" s="1"/>
  <c r="N77" i="7"/>
  <c r="O77" i="7" s="1"/>
  <c r="L77" i="7"/>
  <c r="M77" i="7" s="1"/>
  <c r="N76" i="7"/>
  <c r="O76" i="7" s="1"/>
  <c r="L76" i="7"/>
  <c r="M76" i="7" s="1"/>
  <c r="N75" i="7"/>
  <c r="O75" i="7" s="1"/>
  <c r="L75" i="7"/>
  <c r="M75" i="7" s="1"/>
  <c r="N74" i="7"/>
  <c r="O74" i="7" s="1"/>
  <c r="L74" i="7"/>
  <c r="M74" i="7" s="1"/>
  <c r="N73" i="7"/>
  <c r="O73" i="7" s="1"/>
  <c r="L73" i="7"/>
  <c r="M73" i="7" s="1"/>
  <c r="N72" i="7"/>
  <c r="O72" i="7" s="1"/>
  <c r="L72" i="7"/>
  <c r="M72" i="7" s="1"/>
  <c r="N71" i="7"/>
  <c r="O71" i="7" s="1"/>
  <c r="L71" i="7"/>
  <c r="M71" i="7" s="1"/>
  <c r="N70" i="7"/>
  <c r="O70" i="7" s="1"/>
  <c r="L70" i="7"/>
  <c r="M70" i="7" s="1"/>
  <c r="N69" i="7"/>
  <c r="O69" i="7" s="1"/>
  <c r="L69" i="7"/>
  <c r="M69" i="7" s="1"/>
  <c r="N68" i="7"/>
  <c r="O68" i="7" s="1"/>
  <c r="L68" i="7"/>
  <c r="M68" i="7" s="1"/>
  <c r="N67" i="7"/>
  <c r="O67" i="7" s="1"/>
  <c r="L67" i="7"/>
  <c r="M67" i="7" s="1"/>
  <c r="N66" i="7"/>
  <c r="O66" i="7" s="1"/>
  <c r="L66" i="7"/>
  <c r="M66" i="7" s="1"/>
  <c r="N65" i="7"/>
  <c r="O65" i="7" s="1"/>
  <c r="L65" i="7"/>
  <c r="M65" i="7" s="1"/>
  <c r="N64" i="7"/>
  <c r="O64" i="7" s="1"/>
  <c r="L64" i="7"/>
  <c r="M64" i="7" s="1"/>
  <c r="N63" i="7"/>
  <c r="O63" i="7" s="1"/>
  <c r="L63" i="7"/>
  <c r="M63" i="7" s="1"/>
  <c r="N62" i="7"/>
  <c r="O62" i="7" s="1"/>
  <c r="L62" i="7"/>
  <c r="M62" i="7" s="1"/>
  <c r="N61" i="7"/>
  <c r="O61" i="7" s="1"/>
  <c r="L61" i="7"/>
  <c r="M61" i="7" s="1"/>
  <c r="N60" i="7"/>
  <c r="O60" i="7" s="1"/>
  <c r="L60" i="7"/>
  <c r="M60" i="7" s="1"/>
  <c r="N59" i="7"/>
  <c r="O59" i="7" s="1"/>
  <c r="L59" i="7"/>
  <c r="M59" i="7" s="1"/>
  <c r="N58" i="7"/>
  <c r="O58" i="7" s="1"/>
  <c r="L58" i="7"/>
  <c r="M58" i="7" s="1"/>
  <c r="N57" i="7"/>
  <c r="O57" i="7" s="1"/>
  <c r="L57" i="7"/>
  <c r="N56" i="7"/>
  <c r="O56" i="7" s="1"/>
  <c r="L56" i="7"/>
  <c r="M56" i="7" s="1"/>
  <c r="N55" i="7"/>
  <c r="O55" i="7" s="1"/>
  <c r="L55" i="7"/>
  <c r="M55" i="7" s="1"/>
  <c r="N54" i="7"/>
  <c r="O54" i="7" s="1"/>
  <c r="L54" i="7"/>
  <c r="M54" i="7" s="1"/>
  <c r="N53" i="7"/>
  <c r="O53" i="7" s="1"/>
  <c r="L53" i="7"/>
  <c r="M53" i="7" s="1"/>
  <c r="N52" i="7"/>
  <c r="O52" i="7" s="1"/>
  <c r="L52" i="7"/>
  <c r="M52" i="7" s="1"/>
  <c r="N51" i="7"/>
  <c r="O51" i="7" s="1"/>
  <c r="L51" i="7"/>
  <c r="M51" i="7" s="1"/>
  <c r="N50" i="7"/>
  <c r="O50" i="7" s="1"/>
  <c r="L50" i="7"/>
  <c r="M50" i="7" s="1"/>
  <c r="N49" i="7"/>
  <c r="O49" i="7" s="1"/>
  <c r="L49" i="7"/>
  <c r="M49" i="7" s="1"/>
  <c r="N48" i="7"/>
  <c r="O48" i="7" s="1"/>
  <c r="L48" i="7"/>
  <c r="M48" i="7" s="1"/>
  <c r="N47" i="7"/>
  <c r="O47" i="7" s="1"/>
  <c r="L47" i="7"/>
  <c r="M47" i="7" s="1"/>
  <c r="N46" i="7"/>
  <c r="O46" i="7" s="1"/>
  <c r="L46" i="7"/>
  <c r="M46" i="7" s="1"/>
  <c r="N45" i="7"/>
  <c r="O45" i="7" s="1"/>
  <c r="L45" i="7"/>
  <c r="M45" i="7" s="1"/>
  <c r="N44" i="7"/>
  <c r="O44" i="7" s="1"/>
  <c r="L44" i="7"/>
  <c r="M44" i="7" s="1"/>
  <c r="N43" i="7"/>
  <c r="O43" i="7" s="1"/>
  <c r="L43" i="7"/>
  <c r="M43" i="7" s="1"/>
  <c r="N42" i="7"/>
  <c r="O42" i="7" s="1"/>
  <c r="L42" i="7"/>
  <c r="M42" i="7" s="1"/>
  <c r="N41" i="7"/>
  <c r="O41" i="7" s="1"/>
  <c r="L41" i="7"/>
  <c r="M41" i="7" s="1"/>
  <c r="N40" i="7"/>
  <c r="O40" i="7" s="1"/>
  <c r="L40" i="7"/>
  <c r="M40" i="7" s="1"/>
  <c r="N39" i="7"/>
  <c r="O39" i="7" s="1"/>
  <c r="L39" i="7"/>
  <c r="M39" i="7" s="1"/>
  <c r="N38" i="7"/>
  <c r="O38" i="7" s="1"/>
  <c r="L38" i="7"/>
  <c r="M38" i="7" s="1"/>
  <c r="N37" i="7"/>
  <c r="O37" i="7" s="1"/>
  <c r="L37" i="7"/>
  <c r="M37" i="7" s="1"/>
  <c r="N36" i="7"/>
  <c r="O36" i="7" s="1"/>
  <c r="L36" i="7"/>
  <c r="M36" i="7" s="1"/>
  <c r="N35" i="7"/>
  <c r="O35" i="7" s="1"/>
  <c r="L35" i="7"/>
  <c r="M35" i="7" s="1"/>
  <c r="N34" i="7"/>
  <c r="O34" i="7" s="1"/>
  <c r="L34" i="7"/>
  <c r="M34" i="7" s="1"/>
  <c r="N33" i="7"/>
  <c r="O33" i="7" s="1"/>
  <c r="L33" i="7"/>
  <c r="M33" i="7" s="1"/>
  <c r="N32" i="7"/>
  <c r="O32" i="7" s="1"/>
  <c r="L32" i="7"/>
  <c r="M32" i="7" s="1"/>
  <c r="N31" i="7"/>
  <c r="O31" i="7" s="1"/>
  <c r="L31" i="7"/>
  <c r="M31" i="7" s="1"/>
  <c r="N30" i="7"/>
  <c r="O30" i="7" s="1"/>
  <c r="L30" i="7"/>
  <c r="M30" i="7" s="1"/>
  <c r="N29" i="7"/>
  <c r="O29" i="7" s="1"/>
  <c r="L29" i="7"/>
  <c r="M29" i="7" s="1"/>
  <c r="N28" i="7"/>
  <c r="O28" i="7" s="1"/>
  <c r="L28" i="7"/>
  <c r="M28" i="7" s="1"/>
  <c r="N27" i="7"/>
  <c r="O27" i="7" s="1"/>
  <c r="L27" i="7"/>
  <c r="M27" i="7" s="1"/>
  <c r="N26" i="7"/>
  <c r="O26" i="7" s="1"/>
  <c r="L26" i="7"/>
  <c r="M26" i="7" s="1"/>
  <c r="N25" i="7"/>
  <c r="O25" i="7" s="1"/>
  <c r="L25" i="7"/>
  <c r="M25" i="7" s="1"/>
  <c r="N24" i="7"/>
  <c r="O24" i="7" s="1"/>
  <c r="L24" i="7"/>
  <c r="M24" i="7" s="1"/>
  <c r="N23" i="7"/>
  <c r="O23" i="7" s="1"/>
  <c r="L23" i="7"/>
  <c r="M23" i="7" s="1"/>
  <c r="N22" i="7"/>
  <c r="O22" i="7" s="1"/>
  <c r="L22" i="7"/>
  <c r="M22" i="7" s="1"/>
  <c r="N21" i="7"/>
  <c r="O21" i="7" s="1"/>
  <c r="L21" i="7"/>
  <c r="M21" i="7" s="1"/>
  <c r="N20" i="7"/>
  <c r="O20" i="7" s="1"/>
  <c r="L20" i="7"/>
  <c r="M20" i="7" s="1"/>
  <c r="N19" i="7"/>
  <c r="O19" i="7" s="1"/>
  <c r="L19" i="7"/>
  <c r="M19" i="7" s="1"/>
  <c r="N18" i="7"/>
  <c r="O18" i="7" s="1"/>
  <c r="L18" i="7"/>
  <c r="M18" i="7" s="1"/>
  <c r="N17" i="7"/>
  <c r="O17" i="7" s="1"/>
  <c r="L17" i="7"/>
  <c r="M17" i="7" s="1"/>
  <c r="N16" i="7"/>
  <c r="O16" i="7" s="1"/>
  <c r="L16" i="7"/>
  <c r="M16" i="7" s="1"/>
  <c r="N15" i="7"/>
  <c r="O15" i="7" s="1"/>
  <c r="L15" i="7"/>
  <c r="M15" i="7" s="1"/>
  <c r="N14" i="7"/>
  <c r="O14" i="7" s="1"/>
  <c r="L14" i="7"/>
  <c r="M14" i="7" s="1"/>
  <c r="N13" i="7"/>
  <c r="O13" i="7" s="1"/>
  <c r="L13" i="7"/>
  <c r="M13" i="7" s="1"/>
  <c r="N12" i="7"/>
  <c r="O12" i="7" s="1"/>
  <c r="L12" i="7"/>
  <c r="M12" i="7" s="1"/>
  <c r="N11" i="7"/>
  <c r="O11" i="7" s="1"/>
  <c r="L11" i="7"/>
  <c r="M11" i="7" s="1"/>
  <c r="N10" i="7"/>
  <c r="O10" i="7" s="1"/>
  <c r="L10" i="7"/>
  <c r="M10" i="7" s="1"/>
  <c r="N9" i="7"/>
  <c r="O9" i="7" s="1"/>
  <c r="L9" i="7"/>
  <c r="M9" i="7" s="1"/>
  <c r="N8" i="7"/>
  <c r="O8" i="7" s="1"/>
  <c r="L8" i="7"/>
  <c r="M8" i="7" s="1"/>
  <c r="N7" i="7"/>
  <c r="O7" i="7" s="1"/>
  <c r="L7" i="7"/>
  <c r="M7" i="7" s="1"/>
  <c r="N6" i="7"/>
  <c r="O6" i="7" s="1"/>
  <c r="L6" i="7"/>
  <c r="M6" i="7" s="1"/>
  <c r="N5" i="7"/>
  <c r="O5" i="7" s="1"/>
  <c r="L5" i="7"/>
  <c r="M5" i="7" s="1"/>
  <c r="N4" i="7"/>
  <c r="O4" i="7" s="1"/>
  <c r="L4" i="7"/>
  <c r="M4" i="7" s="1"/>
  <c r="N3" i="7"/>
  <c r="O3" i="7" s="1"/>
  <c r="L3" i="7"/>
  <c r="M3" i="7" s="1"/>
  <c r="N2" i="7"/>
  <c r="O2" i="7" s="1"/>
  <c r="L2" i="7"/>
  <c r="M2" i="7" s="1"/>
  <c r="B161" i="4"/>
  <c r="B147" i="4"/>
  <c r="B142" i="4"/>
  <c r="B133" i="4"/>
  <c r="B119" i="4"/>
  <c r="B108" i="4"/>
  <c r="B109" i="4" s="1"/>
  <c r="B44" i="4"/>
  <c r="B43" i="4"/>
  <c r="B42" i="4"/>
  <c r="B41" i="4"/>
  <c r="B45" i="4" s="1"/>
  <c r="AO40" i="4"/>
  <c r="AF40" i="4" s="1"/>
  <c r="Z40" i="1" s="1"/>
  <c r="B40" i="4"/>
  <c r="AO39" i="4"/>
  <c r="AF39" i="4" s="1"/>
  <c r="Z39" i="1" s="1"/>
  <c r="B39" i="4"/>
  <c r="AO38" i="4"/>
  <c r="AF38" i="4" s="1"/>
  <c r="Z38" i="1" s="1"/>
  <c r="B38" i="4"/>
  <c r="AO37" i="4"/>
  <c r="AF37" i="4" s="1"/>
  <c r="Z37" i="1" s="1"/>
  <c r="B37" i="4"/>
  <c r="AO36" i="4"/>
  <c r="AF36" i="4" s="1"/>
  <c r="Z36" i="1" s="1"/>
  <c r="AO35" i="4"/>
  <c r="AF35" i="4" s="1"/>
  <c r="Z35" i="1" s="1"/>
  <c r="AO34" i="4"/>
  <c r="AF34" i="4" s="1"/>
  <c r="Z34" i="1" s="1"/>
  <c r="AO33" i="4"/>
  <c r="AF33" i="4" s="1"/>
  <c r="Z33" i="1" s="1"/>
  <c r="AO32" i="4"/>
  <c r="AF32" i="4" s="1"/>
  <c r="Z32" i="1" s="1"/>
  <c r="AO31" i="4"/>
  <c r="AF31" i="4" s="1"/>
  <c r="Z31" i="1" s="1"/>
  <c r="AO30" i="4"/>
  <c r="AF30" i="4" s="1"/>
  <c r="Z30" i="1" s="1"/>
  <c r="AO29" i="4"/>
  <c r="AF29" i="4" s="1"/>
  <c r="Z29" i="1" s="1"/>
  <c r="AO28" i="4"/>
  <c r="AF28" i="4" s="1"/>
  <c r="Z28" i="1" s="1"/>
  <c r="AO27" i="4"/>
  <c r="AF27" i="4" s="1"/>
  <c r="Z27" i="1" s="1"/>
  <c r="AO26" i="4"/>
  <c r="AF26" i="4" s="1"/>
  <c r="Z26" i="1" s="1"/>
  <c r="AO25" i="4"/>
  <c r="AF25" i="4" s="1"/>
  <c r="Z25" i="1" s="1"/>
  <c r="AO24" i="4"/>
  <c r="AF24" i="4" s="1"/>
  <c r="Z24" i="1" s="1"/>
  <c r="AO23" i="4"/>
  <c r="AF23" i="4" s="1"/>
  <c r="Z23" i="1" s="1"/>
  <c r="L23" i="4"/>
  <c r="AO22" i="4"/>
  <c r="AF22" i="4" s="1"/>
  <c r="Z22" i="1" s="1"/>
  <c r="L22" i="4"/>
  <c r="B117" i="4" s="1"/>
  <c r="AO21" i="4"/>
  <c r="AF21" i="4" s="1"/>
  <c r="Z21" i="1" s="1"/>
  <c r="AO20" i="4"/>
  <c r="AF20" i="4" s="1"/>
  <c r="Z20" i="1" s="1"/>
  <c r="AO19" i="4"/>
  <c r="AF19" i="4" s="1"/>
  <c r="Z19" i="1" s="1"/>
  <c r="AO18" i="4"/>
  <c r="AF18" i="4" s="1"/>
  <c r="Z18" i="1" s="1"/>
  <c r="L18" i="4"/>
  <c r="AO17" i="4"/>
  <c r="AF17" i="4" s="1"/>
  <c r="Z17" i="1" s="1"/>
  <c r="AO16" i="4"/>
  <c r="AF16" i="4" s="1"/>
  <c r="Z16" i="1" s="1"/>
  <c r="AO15" i="4"/>
  <c r="AF15" i="4" s="1"/>
  <c r="Z15" i="1" s="1"/>
  <c r="AO14" i="4"/>
  <c r="AF14" i="4" s="1"/>
  <c r="Z14" i="1" s="1"/>
  <c r="AO13" i="4"/>
  <c r="AF13" i="4" s="1"/>
  <c r="Z13" i="1" s="1"/>
  <c r="B13" i="4"/>
  <c r="AO12" i="4"/>
  <c r="AF12" i="4" s="1"/>
  <c r="Z12" i="1" s="1"/>
  <c r="AO11" i="4"/>
  <c r="AF11" i="4" s="1"/>
  <c r="Z11" i="1" s="1"/>
  <c r="B11" i="4"/>
  <c r="AO10" i="4"/>
  <c r="AF10" i="4" s="1"/>
  <c r="Z10" i="1" s="1"/>
  <c r="B10" i="4"/>
  <c r="B160" i="4" s="1"/>
  <c r="AO9" i="4"/>
  <c r="AF9" i="4" s="1"/>
  <c r="Z9" i="1" s="1"/>
  <c r="AO8" i="4"/>
  <c r="AF8" i="4" s="1"/>
  <c r="Z8" i="1" s="1"/>
  <c r="I8" i="4"/>
  <c r="B8" i="4"/>
  <c r="AO7" i="4"/>
  <c r="AF7" i="4" s="1"/>
  <c r="Z7" i="1" s="1"/>
  <c r="I7" i="4"/>
  <c r="B118" i="4" s="1"/>
  <c r="F7" i="4"/>
  <c r="B7" i="4"/>
  <c r="AU6" i="4"/>
  <c r="AO6" i="4"/>
  <c r="AF6" i="4" s="1"/>
  <c r="Z6" i="1" s="1"/>
  <c r="F6" i="4"/>
  <c r="B6" i="4"/>
  <c r="AU5" i="4"/>
  <c r="AO5" i="4"/>
  <c r="AF5" i="4" s="1"/>
  <c r="Z5" i="1" s="1"/>
  <c r="B5" i="4"/>
  <c r="AU4" i="4"/>
  <c r="AO4" i="4"/>
  <c r="AF4" i="4" s="1"/>
  <c r="Z4" i="1" s="1"/>
  <c r="B4" i="4"/>
  <c r="AU3" i="4"/>
  <c r="AO3" i="4"/>
  <c r="AF3" i="4" s="1"/>
  <c r="Z3" i="1" s="1"/>
  <c r="L3" i="4"/>
  <c r="L9" i="4" s="1"/>
  <c r="F3" i="4"/>
  <c r="B3" i="4"/>
  <c r="AU2" i="4"/>
  <c r="AO2" i="4"/>
  <c r="AF2" i="4" s="1"/>
  <c r="Z2" i="1" s="1"/>
  <c r="L2" i="4"/>
  <c r="I2" i="4"/>
  <c r="F2" i="4"/>
  <c r="B2" i="4"/>
  <c r="B15" i="4" s="1"/>
  <c r="H26" i="2"/>
  <c r="B21" i="2"/>
  <c r="A16" i="2"/>
  <c r="A15" i="2"/>
  <c r="A14" i="2"/>
  <c r="A13" i="2"/>
  <c r="A12" i="2"/>
  <c r="A11" i="2"/>
  <c r="A10" i="2"/>
  <c r="A9" i="2"/>
  <c r="A8" i="2"/>
  <c r="A7" i="2"/>
  <c r="A6" i="2"/>
  <c r="H5" i="2"/>
  <c r="C5" i="2"/>
  <c r="B5" i="2"/>
  <c r="A5" i="2"/>
  <c r="J2" i="2"/>
  <c r="H2" i="2"/>
  <c r="F2" i="2"/>
  <c r="D2" i="2"/>
  <c r="B2" i="2"/>
  <c r="C57" i="1"/>
  <c r="D47" i="1"/>
  <c r="D45" i="1"/>
  <c r="D41" i="1"/>
  <c r="D28" i="1"/>
  <c r="C26" i="1"/>
  <c r="A25" i="1"/>
  <c r="C19" i="1"/>
  <c r="C17" i="1"/>
  <c r="C14" i="1"/>
  <c r="X13" i="1"/>
  <c r="C13" i="1"/>
  <c r="X12" i="1"/>
  <c r="X11" i="1"/>
  <c r="X10" i="1"/>
  <c r="X9" i="1"/>
  <c r="X8" i="1"/>
  <c r="X7" i="1"/>
  <c r="Y6" i="1"/>
  <c r="X6" i="1"/>
  <c r="Y5" i="1"/>
  <c r="X5" i="1"/>
  <c r="Y4" i="1"/>
  <c r="X4" i="1"/>
  <c r="C4" i="1"/>
  <c r="Y3" i="1"/>
  <c r="X3" i="1"/>
  <c r="Y2" i="1"/>
  <c r="X2" i="1"/>
  <c r="P290" i="7" l="1"/>
  <c r="K290" i="7"/>
  <c r="P289" i="7"/>
  <c r="K289" i="7"/>
  <c r="P288" i="7"/>
  <c r="K288" i="7"/>
  <c r="P287" i="7"/>
  <c r="K287" i="7"/>
  <c r="P286" i="7"/>
  <c r="K286" i="7"/>
  <c r="P285" i="7"/>
  <c r="K285" i="7"/>
  <c r="P284" i="7"/>
  <c r="K284" i="7"/>
  <c r="P283" i="7"/>
  <c r="K283" i="7"/>
  <c r="P282" i="7"/>
  <c r="K282" i="7"/>
  <c r="P281" i="7"/>
  <c r="K281" i="7"/>
  <c r="P280" i="7"/>
  <c r="K280" i="7"/>
  <c r="P279" i="7"/>
  <c r="K279" i="7"/>
  <c r="P278" i="7"/>
  <c r="K278" i="7"/>
  <c r="P277" i="7"/>
  <c r="K277" i="7"/>
  <c r="P276" i="7"/>
  <c r="K276" i="7"/>
  <c r="P275" i="7"/>
  <c r="K275" i="7"/>
  <c r="P274" i="7"/>
  <c r="K274" i="7"/>
  <c r="P273" i="7"/>
  <c r="K273" i="7"/>
  <c r="P272" i="7"/>
  <c r="K272" i="7"/>
  <c r="P271" i="7"/>
  <c r="K271" i="7"/>
  <c r="P270" i="7"/>
  <c r="K270" i="7"/>
  <c r="P269" i="7"/>
  <c r="K269" i="7"/>
  <c r="K268" i="7"/>
  <c r="P267" i="7"/>
  <c r="K267" i="7"/>
  <c r="P266" i="7"/>
  <c r="K266" i="7"/>
  <c r="P265" i="7"/>
  <c r="K265" i="7"/>
  <c r="P264" i="7"/>
  <c r="K264" i="7"/>
  <c r="P263" i="7"/>
  <c r="K263" i="7"/>
  <c r="P262" i="7"/>
  <c r="K262" i="7"/>
  <c r="P261" i="7"/>
  <c r="K261" i="7"/>
  <c r="P260" i="7"/>
  <c r="K260" i="7"/>
  <c r="P259" i="7"/>
  <c r="K259" i="7"/>
  <c r="P258" i="7"/>
  <c r="K258" i="7"/>
  <c r="P257" i="7"/>
  <c r="K257" i="7"/>
  <c r="P256" i="7"/>
  <c r="K256" i="7"/>
  <c r="P255" i="7"/>
  <c r="K255" i="7"/>
  <c r="P254" i="7"/>
  <c r="K254" i="7"/>
  <c r="P253" i="7"/>
  <c r="K253" i="7"/>
  <c r="P252" i="7"/>
  <c r="K252" i="7"/>
  <c r="P251" i="7"/>
  <c r="K251" i="7"/>
  <c r="P250" i="7"/>
  <c r="K250" i="7"/>
  <c r="P249" i="7"/>
  <c r="K249" i="7"/>
  <c r="P248" i="7"/>
  <c r="K248" i="7"/>
  <c r="P247" i="7"/>
  <c r="K247" i="7"/>
  <c r="P246" i="7"/>
  <c r="K246" i="7"/>
  <c r="P245" i="7"/>
  <c r="K245" i="7"/>
  <c r="P244" i="7"/>
  <c r="K244" i="7"/>
  <c r="P243" i="7"/>
  <c r="K243" i="7"/>
  <c r="P242" i="7"/>
  <c r="K242" i="7"/>
  <c r="P241" i="7"/>
  <c r="K241" i="7"/>
  <c r="P240" i="7"/>
  <c r="K240" i="7"/>
  <c r="P239" i="7"/>
  <c r="K239" i="7"/>
  <c r="B107" i="4"/>
  <c r="B110" i="4" s="1"/>
  <c r="B9" i="4"/>
  <c r="B36" i="4"/>
  <c r="B12" i="4"/>
  <c r="B25" i="4" s="1"/>
  <c r="R257" i="7"/>
  <c r="Q257" i="7"/>
  <c r="S257" i="7"/>
  <c r="R256" i="7"/>
  <c r="Q256" i="7"/>
  <c r="S256" i="7"/>
  <c r="R255" i="7"/>
  <c r="Q255" i="7"/>
  <c r="S255" i="7"/>
  <c r="R254" i="7"/>
  <c r="Q254" i="7"/>
  <c r="S254" i="7"/>
  <c r="S253" i="7"/>
  <c r="Q253" i="7"/>
  <c r="R253" i="7"/>
  <c r="Q252" i="7"/>
  <c r="R252" i="7"/>
  <c r="S252" i="7"/>
  <c r="Q251" i="7"/>
  <c r="R251" i="7"/>
  <c r="S251" i="7"/>
  <c r="S250" i="7"/>
  <c r="Q250" i="7"/>
  <c r="R250" i="7"/>
  <c r="Q249" i="7"/>
  <c r="S249" i="7"/>
  <c r="R249" i="7"/>
  <c r="R248" i="7"/>
  <c r="Q248" i="7"/>
  <c r="S248" i="7"/>
  <c r="Q247" i="7"/>
  <c r="S247" i="7"/>
  <c r="R247" i="7"/>
  <c r="S246" i="7"/>
  <c r="R246" i="7"/>
  <c r="Q246" i="7"/>
  <c r="R245" i="7"/>
  <c r="S245" i="7"/>
  <c r="Q245" i="7"/>
  <c r="R244" i="7"/>
  <c r="Q244" i="7"/>
  <c r="S244" i="7"/>
  <c r="Q243" i="7"/>
  <c r="R243" i="7"/>
  <c r="S243" i="7"/>
  <c r="R242" i="7"/>
  <c r="S242" i="7"/>
  <c r="Q242" i="7"/>
  <c r="Q241" i="7"/>
  <c r="S241" i="7"/>
  <c r="R241" i="7"/>
  <c r="S240" i="7"/>
  <c r="Q240" i="7"/>
  <c r="R240" i="7"/>
  <c r="Q239" i="7"/>
  <c r="R239" i="7"/>
  <c r="S239" i="7"/>
  <c r="M178" i="7"/>
  <c r="M239" i="7"/>
  <c r="M275" i="7"/>
  <c r="M179" i="7"/>
  <c r="M182" i="7"/>
  <c r="O255" i="7"/>
  <c r="O87" i="7"/>
  <c r="M57" i="7"/>
  <c r="M130" i="7"/>
  <c r="B135" i="4"/>
  <c r="B134" i="4"/>
  <c r="B154" i="4"/>
  <c r="B25" i="1"/>
  <c r="L32" i="4"/>
  <c r="N2" i="2"/>
  <c r="D33" i="1"/>
  <c r="C25" i="1" s="1"/>
  <c r="I18" i="4"/>
  <c r="B66" i="4"/>
  <c r="B67" i="4" s="1"/>
  <c r="B59" i="4"/>
  <c r="B60" i="4" s="1"/>
  <c r="P228" i="7"/>
  <c r="K228" i="7"/>
  <c r="P227" i="7"/>
  <c r="K227" i="7"/>
  <c r="P226" i="7"/>
  <c r="K226" i="7"/>
  <c r="P225" i="7"/>
  <c r="K225" i="7"/>
  <c r="P224" i="7"/>
  <c r="K224" i="7"/>
  <c r="P223" i="7"/>
  <c r="K223" i="7"/>
  <c r="P222" i="7"/>
  <c r="K222" i="7"/>
  <c r="P221" i="7"/>
  <c r="K221" i="7"/>
  <c r="P220" i="7"/>
  <c r="K220" i="7"/>
  <c r="P219" i="7"/>
  <c r="K219" i="7"/>
  <c r="P218" i="7"/>
  <c r="K218" i="7"/>
  <c r="P217" i="7"/>
  <c r="K217" i="7"/>
  <c r="P216" i="7"/>
  <c r="K216" i="7"/>
  <c r="P215" i="7"/>
  <c r="K215" i="7"/>
  <c r="P214" i="7"/>
  <c r="K214" i="7"/>
  <c r="P213" i="7"/>
  <c r="K213" i="7"/>
  <c r="P212" i="7"/>
  <c r="K212" i="7"/>
  <c r="P211" i="7"/>
  <c r="K211" i="7"/>
  <c r="P210" i="7"/>
  <c r="K210" i="7"/>
  <c r="P209" i="7"/>
  <c r="K209" i="7"/>
  <c r="P208" i="7"/>
  <c r="K208" i="7"/>
  <c r="P207" i="7"/>
  <c r="K207" i="7"/>
  <c r="P206" i="7"/>
  <c r="K206" i="7"/>
  <c r="P205" i="7"/>
  <c r="K205" i="7"/>
  <c r="P204" i="7"/>
  <c r="K204" i="7"/>
  <c r="P203" i="7"/>
  <c r="K203" i="7"/>
  <c r="P202" i="7"/>
  <c r="K202" i="7"/>
  <c r="P201" i="7"/>
  <c r="K201" i="7"/>
  <c r="P200" i="7"/>
  <c r="K200" i="7"/>
  <c r="P199" i="7"/>
  <c r="K199" i="7"/>
  <c r="P198" i="7"/>
  <c r="K198" i="7"/>
  <c r="P197" i="7"/>
  <c r="K197" i="7"/>
  <c r="P196" i="7"/>
  <c r="K196" i="7"/>
  <c r="P195" i="7"/>
  <c r="K195" i="7"/>
  <c r="P194" i="7"/>
  <c r="K194" i="7"/>
  <c r="P193" i="7"/>
  <c r="K193" i="7"/>
  <c r="P192" i="7"/>
  <c r="K192" i="7"/>
  <c r="P191" i="7"/>
  <c r="K191" i="7"/>
  <c r="P190" i="7"/>
  <c r="K190" i="7"/>
  <c r="P189" i="7"/>
  <c r="K189" i="7"/>
  <c r="P188" i="7"/>
  <c r="P187" i="7"/>
  <c r="K187" i="7"/>
  <c r="P186" i="7"/>
  <c r="K186" i="7"/>
  <c r="P185" i="7"/>
  <c r="K185" i="7"/>
  <c r="P184" i="7"/>
  <c r="K184" i="7"/>
  <c r="P183" i="7"/>
  <c r="K183" i="7"/>
  <c r="K182" i="7"/>
  <c r="P181" i="7"/>
  <c r="K181" i="7"/>
  <c r="P180" i="7"/>
  <c r="P178" i="7"/>
  <c r="P182" i="7"/>
  <c r="K180" i="7"/>
  <c r="K59" i="7"/>
  <c r="P58" i="7"/>
  <c r="P59" i="7"/>
  <c r="K60" i="7"/>
  <c r="K58" i="7"/>
  <c r="P57" i="7"/>
  <c r="P60" i="7"/>
  <c r="K61" i="7"/>
  <c r="K57" i="7"/>
  <c r="P56" i="7"/>
  <c r="P61" i="7"/>
  <c r="K62" i="7"/>
  <c r="K56" i="7"/>
  <c r="P55" i="7"/>
  <c r="P62" i="7"/>
  <c r="K63" i="7"/>
  <c r="K55" i="7"/>
  <c r="P54" i="7"/>
  <c r="P63" i="7"/>
  <c r="K64" i="7"/>
  <c r="K54" i="7"/>
  <c r="P53" i="7"/>
  <c r="P64" i="7"/>
  <c r="K65" i="7"/>
  <c r="K53" i="7"/>
  <c r="P52" i="7"/>
  <c r="P65" i="7"/>
  <c r="K66" i="7"/>
  <c r="K52" i="7"/>
  <c r="P51" i="7"/>
  <c r="P66" i="7"/>
  <c r="K67" i="7"/>
  <c r="K51" i="7"/>
  <c r="P50" i="7"/>
  <c r="P67" i="7"/>
  <c r="K68" i="7"/>
  <c r="K50" i="7"/>
  <c r="P49" i="7"/>
  <c r="P68" i="7"/>
  <c r="K69" i="7"/>
  <c r="K49" i="7"/>
  <c r="P48" i="7"/>
  <c r="P69" i="7"/>
  <c r="K70" i="7"/>
  <c r="K48" i="7"/>
  <c r="P47" i="7"/>
  <c r="P70" i="7"/>
  <c r="K71" i="7"/>
  <c r="K47" i="7"/>
  <c r="P46" i="7"/>
  <c r="P71" i="7"/>
  <c r="K72" i="7"/>
  <c r="K46" i="7"/>
  <c r="P45" i="7"/>
  <c r="P72" i="7"/>
  <c r="K73" i="7"/>
  <c r="K45" i="7"/>
  <c r="P44" i="7"/>
  <c r="P73" i="7"/>
  <c r="K74" i="7"/>
  <c r="K44" i="7"/>
  <c r="P43" i="7"/>
  <c r="P74" i="7"/>
  <c r="K75" i="7"/>
  <c r="K43" i="7"/>
  <c r="P42" i="7"/>
  <c r="P75" i="7"/>
  <c r="K76" i="7"/>
  <c r="K42" i="7"/>
  <c r="P41" i="7"/>
  <c r="P76" i="7"/>
  <c r="K77" i="7"/>
  <c r="K41" i="7"/>
  <c r="P40" i="7"/>
  <c r="P77" i="7"/>
  <c r="K78" i="7"/>
  <c r="K40" i="7"/>
  <c r="P39" i="7"/>
  <c r="P78" i="7"/>
  <c r="K79" i="7"/>
  <c r="P38" i="7"/>
  <c r="P79" i="7"/>
  <c r="K80" i="7"/>
  <c r="K38" i="7"/>
  <c r="P37" i="7"/>
  <c r="P80" i="7"/>
  <c r="K118" i="7"/>
  <c r="K37" i="7"/>
  <c r="P36" i="7"/>
  <c r="K81" i="7"/>
  <c r="P81" i="7"/>
  <c r="K36" i="7"/>
  <c r="P35" i="7"/>
  <c r="K82" i="7"/>
  <c r="P82" i="7"/>
  <c r="K35" i="7"/>
  <c r="P34" i="7"/>
  <c r="K83" i="7"/>
  <c r="P83" i="7"/>
  <c r="K34" i="7"/>
  <c r="P33" i="7"/>
  <c r="K84" i="7"/>
  <c r="P84" i="7"/>
  <c r="K33" i="7"/>
  <c r="P32" i="7"/>
  <c r="K85" i="7"/>
  <c r="P85" i="7"/>
  <c r="K32" i="7"/>
  <c r="P31" i="7"/>
  <c r="K86" i="7"/>
  <c r="P86" i="7"/>
  <c r="K31" i="7"/>
  <c r="P30" i="7"/>
  <c r="K87" i="7"/>
  <c r="P87" i="7"/>
  <c r="K30" i="7"/>
  <c r="P29" i="7"/>
  <c r="K88" i="7"/>
  <c r="P88" i="7"/>
  <c r="K29" i="7"/>
  <c r="P28" i="7"/>
  <c r="K89" i="7"/>
  <c r="P89" i="7"/>
  <c r="K28" i="7"/>
  <c r="P27" i="7"/>
  <c r="K90" i="7"/>
  <c r="P90" i="7"/>
  <c r="K27" i="7"/>
  <c r="K91" i="7"/>
  <c r="P91" i="7"/>
  <c r="K92" i="7"/>
  <c r="P92" i="7"/>
  <c r="K93" i="7"/>
  <c r="P93" i="7"/>
  <c r="K94" i="7"/>
  <c r="P94" i="7"/>
  <c r="K95" i="7"/>
  <c r="P95" i="7"/>
  <c r="K96" i="7"/>
  <c r="K39" i="7"/>
  <c r="K119" i="7"/>
  <c r="P119" i="7"/>
  <c r="P96" i="7"/>
  <c r="K97" i="7"/>
  <c r="K121" i="7"/>
  <c r="P121" i="7"/>
  <c r="K122" i="7"/>
  <c r="P122" i="7"/>
  <c r="P97" i="7"/>
  <c r="K98" i="7"/>
  <c r="P123" i="7"/>
  <c r="P98" i="7"/>
  <c r="K99" i="7"/>
  <c r="P99" i="7"/>
  <c r="K100" i="7"/>
  <c r="P125" i="7"/>
  <c r="K126" i="7"/>
  <c r="P100" i="7"/>
  <c r="K101" i="7"/>
  <c r="P126" i="7"/>
  <c r="K127" i="7"/>
  <c r="P127" i="7"/>
  <c r="P101" i="7"/>
  <c r="K102" i="7"/>
  <c r="K129" i="7"/>
  <c r="P102" i="7"/>
  <c r="K103" i="7"/>
  <c r="K131" i="7"/>
  <c r="P131" i="7"/>
  <c r="K132" i="7"/>
  <c r="P132" i="7"/>
  <c r="K133" i="7"/>
  <c r="P133" i="7"/>
  <c r="K134" i="7"/>
  <c r="P134" i="7"/>
  <c r="K135" i="7"/>
  <c r="P136" i="7"/>
  <c r="K137" i="7"/>
  <c r="P137" i="7"/>
  <c r="K138" i="7"/>
  <c r="P138" i="7"/>
  <c r="P141" i="7"/>
  <c r="K142" i="7"/>
  <c r="P142" i="7"/>
  <c r="K143" i="7"/>
  <c r="P143" i="7"/>
  <c r="K144" i="7"/>
  <c r="P144" i="7"/>
  <c r="K145" i="7"/>
  <c r="P145" i="7"/>
  <c r="K146" i="7"/>
  <c r="P146" i="7"/>
  <c r="K147" i="7"/>
  <c r="P147" i="7"/>
  <c r="R7" i="4"/>
  <c r="AU7" i="4" s="1"/>
  <c r="P103" i="7"/>
  <c r="P26" i="7"/>
  <c r="K104" i="7"/>
  <c r="P104" i="7"/>
  <c r="K26" i="7"/>
  <c r="P25" i="7"/>
  <c r="K105" i="7"/>
  <c r="P105" i="7"/>
  <c r="K25" i="7"/>
  <c r="P24" i="7"/>
  <c r="K106" i="7"/>
  <c r="P106" i="7"/>
  <c r="K24" i="7"/>
  <c r="P23" i="7"/>
  <c r="K107" i="7"/>
  <c r="P107" i="7"/>
  <c r="K23" i="7"/>
  <c r="P22" i="7"/>
  <c r="K108" i="7"/>
  <c r="P108" i="7"/>
  <c r="K22" i="7"/>
  <c r="P21" i="7"/>
  <c r="K109" i="7"/>
  <c r="P109" i="7"/>
  <c r="K21" i="7"/>
  <c r="P20" i="7"/>
  <c r="K110" i="7"/>
  <c r="P110" i="7"/>
  <c r="K20" i="7"/>
  <c r="P19" i="7"/>
  <c r="K111" i="7"/>
  <c r="P111" i="7"/>
  <c r="K19" i="7"/>
  <c r="P18" i="7"/>
  <c r="K112" i="7"/>
  <c r="P112" i="7"/>
  <c r="K18" i="7"/>
  <c r="P17" i="7"/>
  <c r="K113" i="7"/>
  <c r="P113" i="7"/>
  <c r="K17" i="7"/>
  <c r="P16" i="7"/>
  <c r="K114" i="7"/>
  <c r="P114" i="7"/>
  <c r="K16" i="7"/>
  <c r="P15" i="7"/>
  <c r="K115" i="7"/>
  <c r="P115" i="7"/>
  <c r="K15" i="7"/>
  <c r="P14" i="7"/>
  <c r="K116" i="7"/>
  <c r="P116" i="7"/>
  <c r="K14" i="7"/>
  <c r="P13" i="7"/>
  <c r="K117" i="7"/>
  <c r="P117" i="7"/>
  <c r="K13" i="7"/>
  <c r="P12" i="7"/>
  <c r="K12" i="7"/>
  <c r="P11" i="7"/>
  <c r="K11" i="7"/>
  <c r="P10" i="7"/>
  <c r="K157" i="7"/>
  <c r="K10" i="7"/>
  <c r="P9" i="7"/>
  <c r="P157" i="7"/>
  <c r="K158" i="7"/>
  <c r="K9" i="7"/>
  <c r="P8" i="7"/>
  <c r="P158" i="7"/>
  <c r="K159" i="7"/>
  <c r="K8" i="7"/>
  <c r="P7" i="7"/>
  <c r="P159" i="7"/>
  <c r="K160" i="7"/>
  <c r="K7" i="7"/>
  <c r="P6" i="7"/>
  <c r="P160" i="7"/>
  <c r="K161" i="7"/>
  <c r="K6" i="7"/>
  <c r="P5" i="7"/>
  <c r="P161" i="7"/>
  <c r="K162" i="7"/>
  <c r="K5" i="7"/>
  <c r="P4" i="7"/>
  <c r="P162" i="7"/>
  <c r="K163" i="7"/>
  <c r="K4" i="7"/>
  <c r="P3" i="7"/>
  <c r="P163" i="7"/>
  <c r="K164" i="7"/>
  <c r="K3" i="7"/>
  <c r="P2" i="7"/>
  <c r="P164" i="7"/>
  <c r="K165" i="7"/>
  <c r="K2" i="7"/>
  <c r="P300" i="7"/>
  <c r="B158" i="4"/>
  <c r="C10" i="1" s="1"/>
  <c r="K188" i="7"/>
  <c r="K300" i="7"/>
  <c r="P165" i="7"/>
  <c r="B146" i="4"/>
  <c r="K166" i="7"/>
  <c r="P166" i="7"/>
  <c r="P268" i="7"/>
  <c r="P238" i="7"/>
  <c r="K238" i="7"/>
  <c r="K167" i="7"/>
  <c r="P237" i="7"/>
  <c r="K237" i="7"/>
  <c r="P167" i="7"/>
  <c r="K168" i="7"/>
  <c r="P168" i="7"/>
  <c r="K169" i="7"/>
  <c r="P169" i="7"/>
  <c r="P236" i="7"/>
  <c r="K170" i="7"/>
  <c r="P170" i="7"/>
  <c r="K236" i="7"/>
  <c r="P235" i="7"/>
  <c r="K235" i="7"/>
  <c r="P234" i="7"/>
  <c r="K171" i="7"/>
  <c r="P171" i="7"/>
  <c r="K172" i="7"/>
  <c r="P118" i="7"/>
  <c r="P172" i="7"/>
  <c r="K173" i="7"/>
  <c r="K120" i="7"/>
  <c r="P120" i="7"/>
  <c r="P173" i="7"/>
  <c r="K174" i="7"/>
  <c r="P174" i="7"/>
  <c r="K175" i="7"/>
  <c r="K123" i="7"/>
  <c r="K124" i="7"/>
  <c r="P124" i="7"/>
  <c r="K125" i="7"/>
  <c r="P175" i="7"/>
  <c r="K176" i="7"/>
  <c r="K128" i="7"/>
  <c r="P128" i="7"/>
  <c r="P176" i="7"/>
  <c r="K177" i="7"/>
  <c r="P129" i="7"/>
  <c r="K130" i="7"/>
  <c r="P130" i="7"/>
  <c r="P177" i="7"/>
  <c r="K178" i="7"/>
  <c r="K234" i="7"/>
  <c r="P233" i="7"/>
  <c r="K233" i="7"/>
  <c r="P232" i="7"/>
  <c r="K232" i="7"/>
  <c r="P231" i="7"/>
  <c r="K231" i="7"/>
  <c r="P230" i="7"/>
  <c r="K230" i="7"/>
  <c r="P229" i="7"/>
  <c r="K229" i="7"/>
  <c r="K179" i="7"/>
  <c r="P179" i="7"/>
  <c r="P135" i="7"/>
  <c r="K136" i="7"/>
  <c r="K139" i="7"/>
  <c r="P139" i="7"/>
  <c r="K140" i="7"/>
  <c r="P140" i="7"/>
  <c r="K141" i="7"/>
  <c r="K148" i="7"/>
  <c r="P148" i="7"/>
  <c r="K149" i="7"/>
  <c r="P149" i="7"/>
  <c r="K150" i="7"/>
  <c r="P150" i="7"/>
  <c r="K151" i="7"/>
  <c r="P151" i="7"/>
  <c r="K152" i="7"/>
  <c r="P152" i="7"/>
  <c r="K153" i="7"/>
  <c r="P153" i="7"/>
  <c r="K154" i="7"/>
  <c r="P154" i="7"/>
  <c r="K155" i="7"/>
  <c r="P155" i="7"/>
  <c r="K156" i="7"/>
  <c r="P156" i="7"/>
  <c r="L21" i="4"/>
  <c r="D46" i="1"/>
  <c r="F4" i="4"/>
  <c r="F5" i="4"/>
  <c r="I3" i="4"/>
  <c r="I9" i="4"/>
  <c r="B162" i="4"/>
  <c r="I17" i="4"/>
  <c r="B148" i="4"/>
  <c r="P10" i="4"/>
  <c r="I10" i="4"/>
  <c r="B129" i="4"/>
  <c r="I16" i="4"/>
  <c r="B22" i="4"/>
  <c r="L7" i="4"/>
  <c r="B46" i="4"/>
  <c r="R290" i="7" l="1"/>
  <c r="Q290" i="7"/>
  <c r="R289" i="7"/>
  <c r="S289" i="7"/>
  <c r="Q289" i="7"/>
  <c r="Q288" i="7"/>
  <c r="R288" i="7"/>
  <c r="S288" i="7"/>
  <c r="R287" i="7"/>
  <c r="S287" i="7"/>
  <c r="Q287" i="7"/>
  <c r="R286" i="7"/>
  <c r="S286" i="7"/>
  <c r="Q286" i="7"/>
  <c r="Q285" i="7"/>
  <c r="S285" i="7"/>
  <c r="R285" i="7"/>
  <c r="R284" i="7"/>
  <c r="S284" i="7"/>
  <c r="Q284" i="7"/>
  <c r="R283" i="7"/>
  <c r="S283" i="7"/>
  <c r="Q283" i="7"/>
  <c r="R282" i="7"/>
  <c r="Q282" i="7"/>
  <c r="S282" i="7"/>
  <c r="S281" i="7"/>
  <c r="Q281" i="7"/>
  <c r="R281" i="7"/>
  <c r="R280" i="7"/>
  <c r="S280" i="7"/>
  <c r="Q280" i="7"/>
  <c r="Q279" i="7"/>
  <c r="S279" i="7"/>
  <c r="R279" i="7"/>
  <c r="R278" i="7"/>
  <c r="S278" i="7"/>
  <c r="Q278" i="7"/>
  <c r="R277" i="7"/>
  <c r="S277" i="7"/>
  <c r="Q277" i="7"/>
  <c r="Q276" i="7"/>
  <c r="S276" i="7"/>
  <c r="R276" i="7"/>
  <c r="Q275" i="7"/>
  <c r="S275" i="7"/>
  <c r="R275" i="7"/>
  <c r="Q274" i="7"/>
  <c r="S274" i="7"/>
  <c r="R274" i="7"/>
  <c r="Q273" i="7"/>
  <c r="R273" i="7"/>
  <c r="S273" i="7"/>
  <c r="S272" i="7"/>
  <c r="Q272" i="7"/>
  <c r="R272" i="7"/>
  <c r="R271" i="7"/>
  <c r="S271" i="7"/>
  <c r="Q271" i="7"/>
  <c r="R270" i="7"/>
  <c r="S270" i="7"/>
  <c r="Q270" i="7"/>
  <c r="S269" i="7"/>
  <c r="R269" i="7"/>
  <c r="Q269" i="7"/>
  <c r="R267" i="7"/>
  <c r="S267" i="7"/>
  <c r="Q267" i="7"/>
  <c r="Q266" i="7"/>
  <c r="S266" i="7"/>
  <c r="R266" i="7"/>
  <c r="Q265" i="7"/>
  <c r="R265" i="7"/>
  <c r="S265" i="7"/>
  <c r="Q264" i="7"/>
  <c r="S264" i="7"/>
  <c r="R264" i="7"/>
  <c r="Q263" i="7"/>
  <c r="S263" i="7"/>
  <c r="R263" i="7"/>
  <c r="R262" i="7"/>
  <c r="S262" i="7"/>
  <c r="Q262" i="7"/>
  <c r="Q261" i="7"/>
  <c r="R261" i="7"/>
  <c r="S261" i="7"/>
  <c r="Q260" i="7"/>
  <c r="R260" i="7"/>
  <c r="S260" i="7"/>
  <c r="Q259" i="7"/>
  <c r="S259" i="7"/>
  <c r="R259" i="7"/>
  <c r="S258" i="7"/>
  <c r="Q258" i="7"/>
  <c r="R258" i="7"/>
  <c r="Y7" i="1"/>
  <c r="B157" i="4"/>
  <c r="B111" i="4"/>
  <c r="B26" i="4"/>
  <c r="I6" i="4"/>
  <c r="I5" i="4"/>
  <c r="L4" i="4"/>
  <c r="L10" i="4" s="1"/>
  <c r="B68" i="4"/>
  <c r="B69" i="4"/>
  <c r="B70" i="4"/>
  <c r="B61" i="4"/>
  <c r="B62" i="4"/>
  <c r="B63" i="4"/>
  <c r="B64" i="4"/>
  <c r="Q228" i="7"/>
  <c r="R228" i="7"/>
  <c r="S228" i="7"/>
  <c r="Q227" i="7"/>
  <c r="R227" i="7"/>
  <c r="S227" i="7"/>
  <c r="Q226" i="7"/>
  <c r="R226" i="7"/>
  <c r="S226" i="7"/>
  <c r="Q225" i="7"/>
  <c r="R225" i="7"/>
  <c r="S225" i="7"/>
  <c r="Q224" i="7"/>
  <c r="R224" i="7"/>
  <c r="S224" i="7"/>
  <c r="Q223" i="7"/>
  <c r="R223" i="7"/>
  <c r="S223" i="7"/>
  <c r="Q222" i="7"/>
  <c r="R222" i="7"/>
  <c r="S222" i="7"/>
  <c r="Q221" i="7"/>
  <c r="R221" i="7"/>
  <c r="S221" i="7"/>
  <c r="Q220" i="7"/>
  <c r="R220" i="7"/>
  <c r="S220" i="7"/>
  <c r="Q219" i="7"/>
  <c r="R219" i="7"/>
  <c r="S219" i="7"/>
  <c r="Q218" i="7"/>
  <c r="R218" i="7"/>
  <c r="S218" i="7"/>
  <c r="Q217" i="7"/>
  <c r="R217" i="7"/>
  <c r="S217" i="7"/>
  <c r="Q216" i="7"/>
  <c r="R216" i="7"/>
  <c r="S216" i="7"/>
  <c r="Q215" i="7"/>
  <c r="R215" i="7"/>
  <c r="S215" i="7"/>
  <c r="Q214" i="7"/>
  <c r="R214" i="7"/>
  <c r="S214" i="7"/>
  <c r="Q213" i="7"/>
  <c r="R213" i="7"/>
  <c r="S213" i="7"/>
  <c r="Q212" i="7"/>
  <c r="R212" i="7"/>
  <c r="S212" i="7"/>
  <c r="Q211" i="7"/>
  <c r="R211" i="7"/>
  <c r="S211" i="7"/>
  <c r="Q210" i="7"/>
  <c r="R210" i="7"/>
  <c r="S210" i="7"/>
  <c r="Q209" i="7"/>
  <c r="R209" i="7"/>
  <c r="S209" i="7"/>
  <c r="Q208" i="7"/>
  <c r="R208" i="7"/>
  <c r="S208" i="7"/>
  <c r="Q207" i="7"/>
  <c r="R207" i="7"/>
  <c r="S207" i="7"/>
  <c r="Q206" i="7"/>
  <c r="R206" i="7"/>
  <c r="S206" i="7"/>
  <c r="Q205" i="7"/>
  <c r="R205" i="7"/>
  <c r="S205" i="7"/>
  <c r="Q204" i="7"/>
  <c r="R204" i="7"/>
  <c r="S204" i="7"/>
  <c r="Q203" i="7"/>
  <c r="R203" i="7"/>
  <c r="S203" i="7"/>
  <c r="Q202" i="7"/>
  <c r="R202" i="7"/>
  <c r="S202" i="7"/>
  <c r="Q201" i="7"/>
  <c r="R201" i="7"/>
  <c r="S201" i="7"/>
  <c r="Q200" i="7"/>
  <c r="R200" i="7"/>
  <c r="S200" i="7"/>
  <c r="Q199" i="7"/>
  <c r="R199" i="7"/>
  <c r="S199" i="7"/>
  <c r="Q198" i="7"/>
  <c r="R198" i="7"/>
  <c r="S198" i="7"/>
  <c r="Q197" i="7"/>
  <c r="R197" i="7"/>
  <c r="S197" i="7"/>
  <c r="Q196" i="7"/>
  <c r="R196" i="7"/>
  <c r="S196" i="7"/>
  <c r="Q195" i="7"/>
  <c r="R195" i="7"/>
  <c r="S195" i="7"/>
  <c r="Q194" i="7"/>
  <c r="R194" i="7"/>
  <c r="S194" i="7"/>
  <c r="Q193" i="7"/>
  <c r="R193" i="7"/>
  <c r="S193" i="7"/>
  <c r="Q192" i="7"/>
  <c r="R192" i="7"/>
  <c r="S192" i="7"/>
  <c r="Q191" i="7"/>
  <c r="R191" i="7"/>
  <c r="S191" i="7"/>
  <c r="Q190" i="7"/>
  <c r="R190" i="7"/>
  <c r="S190" i="7"/>
  <c r="Q189" i="7"/>
  <c r="R189" i="7"/>
  <c r="S189" i="7"/>
  <c r="Q188" i="7"/>
  <c r="R188" i="7"/>
  <c r="S188" i="7"/>
  <c r="Q187" i="7"/>
  <c r="R187" i="7"/>
  <c r="S187" i="7"/>
  <c r="Q186" i="7"/>
  <c r="R186" i="7"/>
  <c r="S186" i="7"/>
  <c r="Q185" i="7"/>
  <c r="R185" i="7"/>
  <c r="S185" i="7"/>
  <c r="Q184" i="7"/>
  <c r="R184" i="7"/>
  <c r="S184" i="7"/>
  <c r="R183" i="7"/>
  <c r="S183" i="7"/>
  <c r="Q183" i="7"/>
  <c r="Q181" i="7"/>
  <c r="R181" i="7"/>
  <c r="S181" i="7"/>
  <c r="Q180" i="7"/>
  <c r="R180" i="7"/>
  <c r="S180" i="7"/>
  <c r="R178" i="7"/>
  <c r="S178" i="7"/>
  <c r="Q178" i="7"/>
  <c r="Q182" i="7"/>
  <c r="R182" i="7"/>
  <c r="S182" i="7"/>
  <c r="Q58" i="7"/>
  <c r="R58" i="7"/>
  <c r="S58" i="7"/>
  <c r="Q59" i="7"/>
  <c r="R59" i="7"/>
  <c r="S59" i="7"/>
  <c r="Q57" i="7"/>
  <c r="R57" i="7"/>
  <c r="S57" i="7"/>
  <c r="Q60" i="7"/>
  <c r="R60" i="7"/>
  <c r="S60" i="7"/>
  <c r="Q56" i="7"/>
  <c r="R56" i="7"/>
  <c r="S56" i="7"/>
  <c r="Q61" i="7"/>
  <c r="R61" i="7"/>
  <c r="S61" i="7"/>
  <c r="Q55" i="7"/>
  <c r="R55" i="7"/>
  <c r="S55" i="7"/>
  <c r="Q62" i="7"/>
  <c r="R62" i="7"/>
  <c r="S62" i="7"/>
  <c r="Q54" i="7"/>
  <c r="R54" i="7"/>
  <c r="S54" i="7"/>
  <c r="Q63" i="7"/>
  <c r="R63" i="7"/>
  <c r="S63" i="7"/>
  <c r="Q53" i="7"/>
  <c r="R53" i="7"/>
  <c r="S53" i="7"/>
  <c r="Q64" i="7"/>
  <c r="R64" i="7"/>
  <c r="S64" i="7"/>
  <c r="Q52" i="7"/>
  <c r="R52" i="7"/>
  <c r="S52" i="7"/>
  <c r="Q65" i="7"/>
  <c r="R65" i="7"/>
  <c r="S65" i="7"/>
  <c r="Q51" i="7"/>
  <c r="R51" i="7"/>
  <c r="S51" i="7"/>
  <c r="Q66" i="7"/>
  <c r="R66" i="7"/>
  <c r="S66" i="7"/>
  <c r="Q50" i="7"/>
  <c r="R50" i="7"/>
  <c r="S50" i="7"/>
  <c r="Q67" i="7"/>
  <c r="R67" i="7"/>
  <c r="S67" i="7"/>
  <c r="Q49" i="7"/>
  <c r="R49" i="7"/>
  <c r="S49" i="7"/>
  <c r="Q68" i="7"/>
  <c r="R68" i="7"/>
  <c r="S68" i="7"/>
  <c r="Q48" i="7"/>
  <c r="R48" i="7"/>
  <c r="S48" i="7"/>
  <c r="Q69" i="7"/>
  <c r="R69" i="7"/>
  <c r="S69" i="7"/>
  <c r="Q47" i="7"/>
  <c r="R47" i="7"/>
  <c r="S47" i="7"/>
  <c r="Q70" i="7"/>
  <c r="R70" i="7"/>
  <c r="S70" i="7"/>
  <c r="Q46" i="7"/>
  <c r="R46" i="7"/>
  <c r="S46" i="7"/>
  <c r="Q71" i="7"/>
  <c r="R71" i="7"/>
  <c r="S71" i="7"/>
  <c r="Q45" i="7"/>
  <c r="R45" i="7"/>
  <c r="S45" i="7"/>
  <c r="Q72" i="7"/>
  <c r="R72" i="7"/>
  <c r="S72" i="7"/>
  <c r="Q44" i="7"/>
  <c r="R44" i="7"/>
  <c r="S44" i="7"/>
  <c r="Q73" i="7"/>
  <c r="R73" i="7"/>
  <c r="S73" i="7"/>
  <c r="Q43" i="7"/>
  <c r="R43" i="7"/>
  <c r="S43" i="7"/>
  <c r="Q74" i="7"/>
  <c r="R74" i="7"/>
  <c r="S74" i="7"/>
  <c r="Q42" i="7"/>
  <c r="R42" i="7"/>
  <c r="S42" i="7"/>
  <c r="Q75" i="7"/>
  <c r="R75" i="7"/>
  <c r="S75" i="7"/>
  <c r="Q41" i="7"/>
  <c r="R41" i="7"/>
  <c r="S41" i="7"/>
  <c r="Q76" i="7"/>
  <c r="R76" i="7"/>
  <c r="S76" i="7"/>
  <c r="Q40" i="7"/>
  <c r="R40" i="7"/>
  <c r="S40" i="7"/>
  <c r="Q77" i="7"/>
  <c r="R77" i="7"/>
  <c r="S77" i="7"/>
  <c r="Q39" i="7"/>
  <c r="R39" i="7"/>
  <c r="S39" i="7"/>
  <c r="Q78" i="7"/>
  <c r="R78" i="7"/>
  <c r="S78" i="7"/>
  <c r="Q38" i="7"/>
  <c r="R38" i="7"/>
  <c r="S38" i="7"/>
  <c r="Q79" i="7"/>
  <c r="R79" i="7"/>
  <c r="S79" i="7"/>
  <c r="Q37" i="7"/>
  <c r="R37" i="7"/>
  <c r="S37" i="7"/>
  <c r="Q80" i="7"/>
  <c r="R80" i="7"/>
  <c r="S80" i="7"/>
  <c r="Q36" i="7"/>
  <c r="R36" i="7"/>
  <c r="S36" i="7"/>
  <c r="Q81" i="7"/>
  <c r="R81" i="7"/>
  <c r="S81" i="7"/>
  <c r="Q35" i="7"/>
  <c r="R35" i="7"/>
  <c r="S35" i="7"/>
  <c r="Q82" i="7"/>
  <c r="R82" i="7"/>
  <c r="S82" i="7"/>
  <c r="Q34" i="7"/>
  <c r="R34" i="7"/>
  <c r="S34" i="7"/>
  <c r="Q83" i="7"/>
  <c r="R83" i="7"/>
  <c r="S83" i="7"/>
  <c r="Q33" i="7"/>
  <c r="R33" i="7"/>
  <c r="S33" i="7"/>
  <c r="Q84" i="7"/>
  <c r="R84" i="7"/>
  <c r="S84" i="7"/>
  <c r="Q32" i="7"/>
  <c r="R32" i="7"/>
  <c r="S32" i="7"/>
  <c r="Q85" i="7"/>
  <c r="R85" i="7"/>
  <c r="S85" i="7"/>
  <c r="Q31" i="7"/>
  <c r="R31" i="7"/>
  <c r="S31" i="7"/>
  <c r="Q86" i="7"/>
  <c r="R86" i="7"/>
  <c r="S86" i="7"/>
  <c r="Q30" i="7"/>
  <c r="R30" i="7"/>
  <c r="S30" i="7"/>
  <c r="Q87" i="7"/>
  <c r="R87" i="7"/>
  <c r="S87" i="7"/>
  <c r="Q29" i="7"/>
  <c r="R29" i="7"/>
  <c r="S29" i="7"/>
  <c r="Q88" i="7"/>
  <c r="R88" i="7"/>
  <c r="S88" i="7"/>
  <c r="Q28" i="7"/>
  <c r="R28" i="7"/>
  <c r="S28" i="7"/>
  <c r="Q89" i="7"/>
  <c r="R89" i="7"/>
  <c r="S89" i="7"/>
  <c r="Q27" i="7"/>
  <c r="R27" i="7"/>
  <c r="S27" i="7"/>
  <c r="Q90" i="7"/>
  <c r="R90" i="7"/>
  <c r="S90" i="7"/>
  <c r="Q91" i="7"/>
  <c r="R91" i="7"/>
  <c r="S91" i="7"/>
  <c r="Q92" i="7"/>
  <c r="R92" i="7"/>
  <c r="S92" i="7"/>
  <c r="Q93" i="7"/>
  <c r="R93" i="7"/>
  <c r="S93" i="7"/>
  <c r="Q94" i="7"/>
  <c r="R94" i="7"/>
  <c r="S94" i="7"/>
  <c r="Q95" i="7"/>
  <c r="R95" i="7"/>
  <c r="S95" i="7"/>
  <c r="Q119" i="7"/>
  <c r="R119" i="7"/>
  <c r="S119" i="7"/>
  <c r="Q96" i="7"/>
  <c r="R96" i="7"/>
  <c r="S96" i="7"/>
  <c r="R121" i="7"/>
  <c r="S121" i="7"/>
  <c r="Q121" i="7"/>
  <c r="Q122" i="7"/>
  <c r="R122" i="7"/>
  <c r="S122" i="7"/>
  <c r="Q97" i="7"/>
  <c r="R97" i="7"/>
  <c r="S97" i="7"/>
  <c r="Q123" i="7"/>
  <c r="R123" i="7"/>
  <c r="S123" i="7"/>
  <c r="Q98" i="7"/>
  <c r="R98" i="7"/>
  <c r="S98" i="7"/>
  <c r="Q99" i="7"/>
  <c r="R99" i="7"/>
  <c r="S99" i="7"/>
  <c r="R125" i="7"/>
  <c r="S125" i="7"/>
  <c r="Q125" i="7"/>
  <c r="Q100" i="7"/>
  <c r="R100" i="7"/>
  <c r="S100" i="7"/>
  <c r="R126" i="7"/>
  <c r="S126" i="7"/>
  <c r="Q126" i="7"/>
  <c r="Q127" i="7"/>
  <c r="R127" i="7"/>
  <c r="S127" i="7"/>
  <c r="Q101" i="7"/>
  <c r="R101" i="7"/>
  <c r="S101" i="7"/>
  <c r="Q102" i="7"/>
  <c r="R102" i="7"/>
  <c r="S102" i="7"/>
  <c r="R131" i="7"/>
  <c r="S131" i="7"/>
  <c r="Q131" i="7"/>
  <c r="R132" i="7"/>
  <c r="S132" i="7"/>
  <c r="Q132" i="7"/>
  <c r="R133" i="7"/>
  <c r="S133" i="7"/>
  <c r="Q133" i="7"/>
  <c r="R134" i="7"/>
  <c r="S134" i="7"/>
  <c r="Q134" i="7"/>
  <c r="R136" i="7"/>
  <c r="S136" i="7"/>
  <c r="Q136" i="7"/>
  <c r="R137" i="7"/>
  <c r="S137" i="7"/>
  <c r="Q137" i="7"/>
  <c r="Q138" i="7"/>
  <c r="R138" i="7"/>
  <c r="S138" i="7"/>
  <c r="Q141" i="7"/>
  <c r="R141" i="7"/>
  <c r="S141" i="7"/>
  <c r="Q142" i="7"/>
  <c r="R142" i="7"/>
  <c r="S142" i="7"/>
  <c r="Q143" i="7"/>
  <c r="R143" i="7"/>
  <c r="S143" i="7"/>
  <c r="Q144" i="7"/>
  <c r="R144" i="7"/>
  <c r="S144" i="7"/>
  <c r="Q145" i="7"/>
  <c r="R145" i="7"/>
  <c r="S145" i="7"/>
  <c r="Q146" i="7"/>
  <c r="R146" i="7"/>
  <c r="S146" i="7"/>
  <c r="Q147" i="7"/>
  <c r="R147" i="7"/>
  <c r="S147" i="7"/>
  <c r="Q103" i="7"/>
  <c r="R103" i="7"/>
  <c r="S103" i="7"/>
  <c r="Q26" i="7"/>
  <c r="R26" i="7"/>
  <c r="S26" i="7"/>
  <c r="Q104" i="7"/>
  <c r="R104" i="7"/>
  <c r="S104" i="7"/>
  <c r="Q25" i="7"/>
  <c r="R25" i="7"/>
  <c r="S25" i="7"/>
  <c r="Q105" i="7"/>
  <c r="R105" i="7"/>
  <c r="S105" i="7"/>
  <c r="Q24" i="7"/>
  <c r="R24" i="7"/>
  <c r="S24" i="7"/>
  <c r="Q106" i="7"/>
  <c r="R106" i="7"/>
  <c r="S106" i="7"/>
  <c r="Q23" i="7"/>
  <c r="R23" i="7"/>
  <c r="S23" i="7"/>
  <c r="Q107" i="7"/>
  <c r="R107" i="7"/>
  <c r="S107" i="7"/>
  <c r="Q22" i="7"/>
  <c r="R22" i="7"/>
  <c r="S22" i="7"/>
  <c r="Q108" i="7"/>
  <c r="R108" i="7"/>
  <c r="S108" i="7"/>
  <c r="Q21" i="7"/>
  <c r="R21" i="7"/>
  <c r="S21" i="7"/>
  <c r="Q109" i="7"/>
  <c r="R109" i="7"/>
  <c r="S109" i="7"/>
  <c r="Q20" i="7"/>
  <c r="R20" i="7"/>
  <c r="S20" i="7"/>
  <c r="Q110" i="7"/>
  <c r="R110" i="7"/>
  <c r="S110" i="7"/>
  <c r="Q19" i="7"/>
  <c r="R19" i="7"/>
  <c r="S19" i="7"/>
  <c r="Q111" i="7"/>
  <c r="R111" i="7"/>
  <c r="S111" i="7"/>
  <c r="Q18" i="7"/>
  <c r="R18" i="7"/>
  <c r="S18" i="7"/>
  <c r="Q112" i="7"/>
  <c r="R112" i="7"/>
  <c r="S112" i="7"/>
  <c r="Q17" i="7"/>
  <c r="R17" i="7"/>
  <c r="S17" i="7"/>
  <c r="Q113" i="7"/>
  <c r="R113" i="7"/>
  <c r="S113" i="7"/>
  <c r="Q16" i="7"/>
  <c r="R16" i="7"/>
  <c r="S16" i="7"/>
  <c r="Q114" i="7"/>
  <c r="R114" i="7"/>
  <c r="S114" i="7"/>
  <c r="Q15" i="7"/>
  <c r="R15" i="7"/>
  <c r="S15" i="7"/>
  <c r="Q115" i="7"/>
  <c r="R115" i="7"/>
  <c r="S115" i="7"/>
  <c r="Q14" i="7"/>
  <c r="R14" i="7"/>
  <c r="S14" i="7"/>
  <c r="Q116" i="7"/>
  <c r="R116" i="7"/>
  <c r="S116" i="7"/>
  <c r="Q13" i="7"/>
  <c r="R13" i="7"/>
  <c r="S13" i="7"/>
  <c r="R117" i="7"/>
  <c r="S117" i="7"/>
  <c r="Q117" i="7"/>
  <c r="Q12" i="7"/>
  <c r="R12" i="7"/>
  <c r="S12" i="7"/>
  <c r="Q11" i="7"/>
  <c r="R11" i="7"/>
  <c r="S11" i="7"/>
  <c r="Q10" i="7"/>
  <c r="R10" i="7"/>
  <c r="S10" i="7"/>
  <c r="Q9" i="7"/>
  <c r="R9" i="7"/>
  <c r="S9" i="7"/>
  <c r="Q157" i="7"/>
  <c r="R157" i="7"/>
  <c r="S157" i="7"/>
  <c r="Q8" i="7"/>
  <c r="R8" i="7"/>
  <c r="S8" i="7"/>
  <c r="Q158" i="7"/>
  <c r="R158" i="7"/>
  <c r="S158" i="7"/>
  <c r="Q7" i="7"/>
  <c r="R7" i="7"/>
  <c r="S7" i="7"/>
  <c r="Q159" i="7"/>
  <c r="R159" i="7"/>
  <c r="S159" i="7"/>
  <c r="Q6" i="7"/>
  <c r="R6" i="7"/>
  <c r="S6" i="7"/>
  <c r="Q160" i="7"/>
  <c r="R160" i="7"/>
  <c r="S160" i="7"/>
  <c r="Q5" i="7"/>
  <c r="R5" i="7"/>
  <c r="S5" i="7"/>
  <c r="Q161" i="7"/>
  <c r="R161" i="7"/>
  <c r="S161" i="7"/>
  <c r="Q4" i="7"/>
  <c r="R4" i="7"/>
  <c r="S4" i="7"/>
  <c r="Q162" i="7"/>
  <c r="R162" i="7"/>
  <c r="S162" i="7"/>
  <c r="Q3" i="7"/>
  <c r="R3" i="7"/>
  <c r="S3" i="7"/>
  <c r="Q163" i="7"/>
  <c r="R163" i="7"/>
  <c r="S163" i="7"/>
  <c r="Q2" i="7"/>
  <c r="R2" i="7"/>
  <c r="S2" i="7"/>
  <c r="Q164" i="7"/>
  <c r="R164" i="7"/>
  <c r="S164" i="7"/>
  <c r="B54" i="4"/>
  <c r="B53" i="4"/>
  <c r="Q300" i="7"/>
  <c r="R300" i="7"/>
  <c r="Q165" i="7"/>
  <c r="R165" i="7"/>
  <c r="S165" i="7"/>
  <c r="Q166" i="7"/>
  <c r="R166" i="7"/>
  <c r="S166" i="7"/>
  <c r="Q268" i="7"/>
  <c r="R268" i="7"/>
  <c r="S268" i="7"/>
  <c r="Q238" i="7"/>
  <c r="S238" i="7"/>
  <c r="R238" i="7"/>
  <c r="Q237" i="7"/>
  <c r="R237" i="7"/>
  <c r="S237" i="7"/>
  <c r="Q167" i="7"/>
  <c r="R167" i="7"/>
  <c r="S167" i="7"/>
  <c r="Q168" i="7"/>
  <c r="R168" i="7"/>
  <c r="S168" i="7"/>
  <c r="Q169" i="7"/>
  <c r="R169" i="7"/>
  <c r="S169" i="7"/>
  <c r="Q236" i="7"/>
  <c r="R236" i="7"/>
  <c r="S236" i="7"/>
  <c r="Q170" i="7"/>
  <c r="R170" i="7"/>
  <c r="S170" i="7"/>
  <c r="Q235" i="7"/>
  <c r="R235" i="7"/>
  <c r="S235" i="7"/>
  <c r="Q234" i="7"/>
  <c r="R234" i="7"/>
  <c r="S234" i="7"/>
  <c r="Q171" i="7"/>
  <c r="R171" i="7"/>
  <c r="S171" i="7"/>
  <c r="Q118" i="7"/>
  <c r="R118" i="7"/>
  <c r="S118" i="7"/>
  <c r="Q172" i="7"/>
  <c r="R172" i="7"/>
  <c r="S172" i="7"/>
  <c r="Q120" i="7"/>
  <c r="R120" i="7"/>
  <c r="S120" i="7"/>
  <c r="Q173" i="7"/>
  <c r="R173" i="7"/>
  <c r="S173" i="7"/>
  <c r="Q174" i="7"/>
  <c r="R174" i="7"/>
  <c r="S174" i="7"/>
  <c r="R124" i="7"/>
  <c r="S124" i="7"/>
  <c r="Q124" i="7"/>
  <c r="Q175" i="7"/>
  <c r="R175" i="7"/>
  <c r="S175" i="7"/>
  <c r="R128" i="7"/>
  <c r="Q128" i="7"/>
  <c r="S128" i="7"/>
  <c r="Q176" i="7"/>
  <c r="R176" i="7"/>
  <c r="S176" i="7"/>
  <c r="Q129" i="7"/>
  <c r="R129" i="7"/>
  <c r="S129" i="7"/>
  <c r="Q130" i="7"/>
  <c r="R130" i="7"/>
  <c r="S130" i="7"/>
  <c r="Q177" i="7"/>
  <c r="R177" i="7"/>
  <c r="S177" i="7"/>
  <c r="Q233" i="7"/>
  <c r="R233" i="7"/>
  <c r="S233" i="7"/>
  <c r="Q232" i="7"/>
  <c r="R232" i="7"/>
  <c r="S232" i="7"/>
  <c r="Q231" i="7"/>
  <c r="R231" i="7"/>
  <c r="S231" i="7"/>
  <c r="Q230" i="7"/>
  <c r="R230" i="7"/>
  <c r="S230" i="7"/>
  <c r="Q229" i="7"/>
  <c r="R229" i="7"/>
  <c r="S229" i="7"/>
  <c r="S179" i="7"/>
  <c r="Q179" i="7"/>
  <c r="R179" i="7"/>
  <c r="R135" i="7"/>
  <c r="S135" i="7"/>
  <c r="Q135" i="7"/>
  <c r="R139" i="7"/>
  <c r="S139" i="7"/>
  <c r="Q139" i="7"/>
  <c r="R140" i="7"/>
  <c r="S140" i="7"/>
  <c r="Q140" i="7"/>
  <c r="Q148" i="7"/>
  <c r="R148" i="7"/>
  <c r="S148" i="7"/>
  <c r="Q149" i="7"/>
  <c r="R149" i="7"/>
  <c r="S149" i="7"/>
  <c r="Q150" i="7"/>
  <c r="R150" i="7"/>
  <c r="S150" i="7"/>
  <c r="Q151" i="7"/>
  <c r="R151" i="7"/>
  <c r="S151" i="7"/>
  <c r="Q152" i="7"/>
  <c r="R152" i="7"/>
  <c r="S152" i="7"/>
  <c r="Q153" i="7"/>
  <c r="R153" i="7"/>
  <c r="S153" i="7"/>
  <c r="Q154" i="7"/>
  <c r="R154" i="7"/>
  <c r="S154" i="7"/>
  <c r="Q155" i="7"/>
  <c r="R155" i="7"/>
  <c r="S155" i="7"/>
  <c r="Q156" i="7"/>
  <c r="R156" i="7"/>
  <c r="S156" i="7"/>
  <c r="I4" i="4"/>
  <c r="I14" i="4"/>
  <c r="I13" i="4"/>
  <c r="I15" i="4" s="1"/>
  <c r="A12" i="1"/>
  <c r="D58" i="1"/>
  <c r="C19" i="4"/>
  <c r="B32" i="4"/>
  <c r="D53" i="1"/>
  <c r="D54" i="1"/>
  <c r="D51" i="1"/>
  <c r="D55" i="1"/>
  <c r="B58" i="4"/>
  <c r="B78" i="4"/>
  <c r="B81" i="4"/>
  <c r="B82" i="4"/>
  <c r="B83" i="4"/>
  <c r="B84" i="4"/>
  <c r="D60" i="1" s="1"/>
  <c r="B85" i="4"/>
  <c r="D61" i="1" s="1"/>
  <c r="B112" i="4"/>
  <c r="A11" i="1"/>
  <c r="D52" i="1"/>
  <c r="D57" i="1"/>
  <c r="P7" i="4"/>
  <c r="B18" i="4"/>
  <c r="B19" i="4" s="1"/>
  <c r="B51" i="4"/>
  <c r="L8" i="4"/>
  <c r="D43" i="1" s="1"/>
  <c r="D42" i="1"/>
  <c r="B163" i="4"/>
  <c r="P12" i="4"/>
  <c r="B155" i="4"/>
  <c r="B47" i="4"/>
  <c r="B159" i="4" l="1"/>
  <c r="B143" i="4" s="1"/>
  <c r="B103" i="4"/>
  <c r="P11" i="4"/>
  <c r="B57" i="4"/>
  <c r="B55" i="4"/>
  <c r="B56" i="4" s="1"/>
  <c r="L37" i="4"/>
  <c r="L5" i="4"/>
  <c r="L11" i="4" s="1"/>
  <c r="I11" i="4"/>
  <c r="I12" i="4"/>
  <c r="B79" i="4"/>
  <c r="B50" i="4"/>
  <c r="D59" i="1"/>
  <c r="B80" i="4"/>
  <c r="L30" i="4"/>
  <c r="L31" i="4"/>
  <c r="L2" i="2"/>
  <c r="D34" i="1"/>
  <c r="B122" i="4" l="1"/>
  <c r="B121" i="4"/>
  <c r="B100" i="4"/>
  <c r="B101" i="4" s="1"/>
  <c r="D50" i="1"/>
  <c r="D56" i="1"/>
  <c r="I19" i="4"/>
  <c r="D48" i="1"/>
  <c r="B144" i="4"/>
  <c r="D26" i="1"/>
  <c r="D29" i="1"/>
  <c r="B6" i="2"/>
  <c r="CN6" i="4" s="1"/>
  <c r="B7" i="2"/>
  <c r="CN7" i="4" s="1"/>
  <c r="B9" i="2"/>
  <c r="CN9" i="4" s="1"/>
  <c r="B13" i="2"/>
  <c r="CN13" i="4" s="1"/>
  <c r="B15" i="2"/>
  <c r="CN15" i="4" s="1"/>
  <c r="B16" i="2"/>
  <c r="CN16" i="4" s="1"/>
  <c r="B8" i="2"/>
  <c r="CN8" i="4" s="1"/>
  <c r="B14" i="2"/>
  <c r="CN14" i="4" s="1"/>
  <c r="B10" i="2"/>
  <c r="CN10" i="4" s="1"/>
  <c r="B11" i="2"/>
  <c r="CN11" i="4" s="1"/>
  <c r="B12" i="2"/>
  <c r="CN12" i="4" s="1"/>
  <c r="B150" i="11"/>
  <c r="E150" i="11" s="1"/>
  <c r="D27" i="1"/>
  <c r="B125" i="4" l="1"/>
  <c r="B123" i="4"/>
  <c r="B17" i="4"/>
  <c r="B16" i="4"/>
  <c r="B102" i="4"/>
  <c r="D37" i="1"/>
  <c r="B49" i="4"/>
  <c r="B72" i="4"/>
  <c r="B74" i="4" s="1"/>
  <c r="B73" i="4"/>
  <c r="B75" i="4" s="1"/>
  <c r="B76" i="4"/>
  <c r="B124" i="4"/>
  <c r="B48" i="4" l="1"/>
  <c r="L6" i="4"/>
  <c r="B131" i="4"/>
  <c r="B20" i="4"/>
  <c r="B21" i="4" s="1"/>
  <c r="L20" i="4"/>
  <c r="B23" i="4"/>
  <c r="B150" i="4"/>
  <c r="B151" i="4" l="1"/>
  <c r="B136" i="4"/>
  <c r="B24" i="4"/>
  <c r="B95" i="4"/>
  <c r="D68" i="1" s="1"/>
  <c r="B92" i="4"/>
  <c r="D66" i="1" s="1"/>
  <c r="B88" i="4"/>
  <c r="D64" i="1" s="1"/>
  <c r="B86" i="4"/>
  <c r="D62" i="1" s="1"/>
  <c r="B138" i="4"/>
  <c r="B140" i="4" s="1"/>
  <c r="CR8" i="4"/>
  <c r="CR6" i="4"/>
  <c r="CR11" i="4"/>
  <c r="CR16" i="4"/>
  <c r="CR12" i="4"/>
  <c r="CR14" i="4"/>
  <c r="CR13" i="4"/>
  <c r="CR10" i="4"/>
  <c r="CR7" i="4"/>
  <c r="CR9" i="4"/>
  <c r="CR15" i="4"/>
  <c r="L38" i="4"/>
  <c r="B152" i="4"/>
  <c r="B156" i="4" l="1"/>
  <c r="L34" i="4"/>
  <c r="L36" i="4" s="1"/>
  <c r="L17" i="4" s="1"/>
  <c r="CO10" i="4"/>
  <c r="CP10" i="4" s="1"/>
  <c r="CO9" i="4"/>
  <c r="CP9" i="4" s="1"/>
  <c r="CO16" i="4"/>
  <c r="CP16" i="4" s="1"/>
  <c r="CO15" i="4"/>
  <c r="CP15" i="4" s="1"/>
  <c r="CO13" i="4"/>
  <c r="CP13" i="4" s="1"/>
  <c r="CO7" i="4"/>
  <c r="CP7" i="4" s="1"/>
  <c r="CO12" i="4"/>
  <c r="CP12" i="4" s="1"/>
  <c r="CO11" i="4"/>
  <c r="CP11" i="4" s="1"/>
  <c r="CO14" i="4"/>
  <c r="CP14" i="4" s="1"/>
  <c r="CO8" i="4"/>
  <c r="CP8" i="4" s="1"/>
  <c r="CO6" i="4"/>
  <c r="CP6" i="4" s="1"/>
  <c r="B29" i="4"/>
  <c r="B27" i="4"/>
  <c r="D38" i="1"/>
  <c r="B93" i="4"/>
  <c r="B89" i="4"/>
  <c r="D65" i="1" s="1"/>
  <c r="L24" i="4" l="1"/>
  <c r="D44" i="1"/>
  <c r="L19" i="4"/>
  <c r="L12" i="4" s="1"/>
  <c r="L27" i="4" s="1"/>
  <c r="L33" i="4" s="1"/>
  <c r="CS10" i="4"/>
  <c r="CQ10" i="4"/>
  <c r="CS9" i="4"/>
  <c r="CQ9" i="4"/>
  <c r="CS16" i="4"/>
  <c r="CQ16" i="4"/>
  <c r="CS15" i="4"/>
  <c r="CQ15" i="4"/>
  <c r="CS13" i="4"/>
  <c r="CQ13" i="4"/>
  <c r="CS7" i="4"/>
  <c r="CQ7" i="4"/>
  <c r="CS12" i="4"/>
  <c r="CQ12" i="4"/>
  <c r="CS11" i="4"/>
  <c r="CQ11" i="4"/>
  <c r="CS14" i="4"/>
  <c r="CQ14" i="4"/>
  <c r="CS8" i="4"/>
  <c r="CQ8" i="4"/>
  <c r="CS6" i="4"/>
  <c r="CQ6" i="4"/>
  <c r="B30" i="4"/>
  <c r="B34" i="4"/>
  <c r="D36" i="1"/>
  <c r="B28" i="4"/>
  <c r="B31" i="4" s="1"/>
  <c r="B35" i="4" s="1"/>
  <c r="B126" i="4"/>
  <c r="D35" i="1"/>
  <c r="B33" i="4"/>
  <c r="B90" i="4"/>
  <c r="B96" i="4"/>
  <c r="D69" i="1" s="1"/>
  <c r="B94" i="4"/>
  <c r="D67" i="1"/>
  <c r="B87" i="4"/>
  <c r="D63" i="1" s="1"/>
  <c r="L35" i="4"/>
  <c r="B99" i="4"/>
  <c r="D25" i="1" s="1"/>
  <c r="D70" i="1"/>
  <c r="D49" i="1" l="1"/>
  <c r="L25" i="4"/>
  <c r="L40" i="4"/>
  <c r="L26" i="4" s="1"/>
  <c r="L14" i="4" s="1"/>
  <c r="CU14" i="4"/>
  <c r="C14" i="2" s="1"/>
  <c r="D14" i="2" s="1"/>
  <c r="CU8" i="4"/>
  <c r="C8" i="2" s="1"/>
  <c r="D8" i="2" s="1"/>
  <c r="CU15" i="4"/>
  <c r="C15" i="2" s="1"/>
  <c r="D15" i="2" s="1"/>
  <c r="CU12" i="4"/>
  <c r="C12" i="2" s="1"/>
  <c r="D12" i="2" s="1"/>
  <c r="CU11" i="4"/>
  <c r="C11" i="2" s="1"/>
  <c r="D11" i="2" s="1"/>
  <c r="CU7" i="4"/>
  <c r="C7" i="2" s="1"/>
  <c r="D7" i="2" s="1"/>
  <c r="CU9" i="4"/>
  <c r="C9" i="2" s="1"/>
  <c r="D9" i="2" s="1"/>
  <c r="CU6" i="4"/>
  <c r="C6" i="2" s="1"/>
  <c r="D6" i="2" s="1"/>
  <c r="CU16" i="4"/>
  <c r="C16" i="2" s="1"/>
  <c r="D16" i="2" s="1"/>
  <c r="CU13" i="4"/>
  <c r="C13" i="2" s="1"/>
  <c r="D13" i="2" s="1"/>
  <c r="CU10" i="4"/>
  <c r="C10" i="2" s="1"/>
  <c r="D10" i="2" s="1"/>
  <c r="CT16" i="4"/>
  <c r="CT6" i="4"/>
  <c r="CT13" i="4"/>
  <c r="CT8" i="4"/>
  <c r="CT10" i="4"/>
  <c r="CT14" i="4"/>
  <c r="CT11" i="4"/>
  <c r="CT7" i="4"/>
  <c r="CT9" i="4"/>
  <c r="CT15" i="4"/>
  <c r="L39" i="4"/>
  <c r="CT12" i="4"/>
  <c r="B137" i="4"/>
  <c r="B139" i="4" s="1"/>
  <c r="B71" i="4"/>
  <c r="B65" i="4" s="1"/>
  <c r="B77" i="4"/>
  <c r="B130" i="4"/>
  <c r="L13" i="4" l="1"/>
  <c r="E14" i="2"/>
  <c r="F14" i="2"/>
  <c r="E8" i="2"/>
  <c r="F8" i="2"/>
  <c r="E15" i="2"/>
  <c r="F15" i="2"/>
  <c r="E10" i="2"/>
  <c r="F10" i="2"/>
  <c r="B132" i="4"/>
  <c r="B114" i="4"/>
  <c r="B113" i="4"/>
  <c r="L16" i="4"/>
  <c r="L28" i="4"/>
  <c r="B141" i="4"/>
  <c r="B127" i="4"/>
  <c r="B128" i="4"/>
  <c r="E12" i="2"/>
  <c r="F12" i="2"/>
  <c r="E11" i="2"/>
  <c r="F11" i="2"/>
  <c r="E7" i="2"/>
  <c r="F7" i="2"/>
  <c r="E9" i="2"/>
  <c r="F9" i="2"/>
  <c r="E6" i="2"/>
  <c r="F6" i="2"/>
  <c r="E16" i="2"/>
  <c r="F16" i="2"/>
  <c r="E13" i="2"/>
  <c r="F13" i="2"/>
  <c r="L29" i="4"/>
  <c r="B115" i="4"/>
  <c r="B116" i="4"/>
  <c r="L15" i="4"/>
  <c r="D32" i="1" s="1"/>
  <c r="D30" i="1" l="1"/>
  <c r="B98" i="4"/>
  <c r="B153" i="4"/>
  <c r="D12" i="1" s="1"/>
  <c r="D31" i="1"/>
  <c r="D17" i="1"/>
  <c r="D7" i="1" l="1"/>
  <c r="D39" i="1"/>
  <c r="D40" i="1" l="1"/>
  <c r="D3" i="1"/>
</calcChain>
</file>

<file path=xl/sharedStrings.xml><?xml version="1.0" encoding="utf-8"?>
<sst xmlns="http://schemas.openxmlformats.org/spreadsheetml/2006/main" count="13892" uniqueCount="4721">
  <si>
    <t>PIPELINE CONDITION ASSESSMENT MODEL — v17.81 WORKING VERSION</t>
  </si>
  <si>
    <t>Pipe type helper</t>
  </si>
  <si>
    <t>Pipe class helper</t>
  </si>
  <si>
    <t>Diameter helper</t>
  </si>
  <si>
    <t>CHANGE UNITS FIRST</t>
  </si>
  <si>
    <t>Imperial</t>
  </si>
  <si>
    <t>Choose units BEFORE entering data. Changing units does NOT convert numbers already entered. After switching, reselect diameter and convert/re-enter length, wall thickness, pressures, surge and pressure rating. Acoustic velocity stays in m/ms.</t>
  </si>
  <si>
    <t xml:space="preserve">Comments </t>
  </si>
  <si>
    <t>Survey date</t>
  </si>
  <si>
    <t>Date condition survey completed. Must be a valid Excel date. Pipe age and assessment are anchored to this date so historic assessments remain reproducible.</t>
  </si>
  <si>
    <t>Length of main surveyed</t>
  </si>
  <si>
    <t>Location</t>
  </si>
  <si>
    <t>Example — replace with asset location</t>
  </si>
  <si>
    <t>location of survey being calculated</t>
  </si>
  <si>
    <t>CONDITION ASSESSMENT METHOD</t>
  </si>
  <si>
    <t>Direct Wall Thickness / NDT</t>
  </si>
  <si>
    <t>Choose the evidence route before entering condition measurements.</t>
  </si>
  <si>
    <t>CONDITION FINDING</t>
  </si>
  <si>
    <t>Installation year</t>
  </si>
  <si>
    <t>Year installed. Valid range: 1800 through to the year of the survey date. Very old pipes remain assessable; an installation year later than the survey date is invalid input.</t>
  </si>
  <si>
    <t>Pipe material</t>
  </si>
  <si>
    <t>Grey cast iron</t>
  </si>
  <si>
    <t>Select pipe type from the drop-down. Engineering Best-Practice Assessment supports all listed metallic and non-metallic materials. FINAL acoustic remaining-life assessment is released only for Ductile iron, Grey cast iron and Carbon steel. Direct Wall/NDT is released for metallic materials only.</t>
  </si>
  <si>
    <t>Pipe category / class</t>
  </si>
  <si>
    <t>Unknown - Average</t>
  </si>
  <si>
    <t>Pipe category/class changes the embedded reference wall and therefore the Engineering Best-Practice condition estimate. For GCI, higher numbered classes use thicker reference walls where source data support them. If the pipe has already passed the model's nominal 75-year Engineering Best-Practice screening horizon, the published EBP life remains 0 years regardless of class until direct condition evidence is entered.</t>
  </si>
  <si>
    <t>Internal diameter</t>
  </si>
  <si>
    <t>m/ms. A measured acoustic/correlator velocity below the nominal healthy reference can be physically plausible and may indicate reduced effective pipe stiffness. If it passes the broad validity gate, the model converts it to acoustic equivalent wall rather than rejecting it simply because it is below the healthy range.</t>
  </si>
  <si>
    <t>ACTIVE INPUT when Direct Wall/NDT is selected. Enter the actual governing measured remaining wall at the inspected location (mm in Metric; decimal inches in Imperial), including the lowest relevant pitting point identified during the survey. The model does NOT deduct a further generic pitting allowance from Direct Wall measurements. For Grey Cast Iron, consider graphitization and local deterioration that a thickness reading alone may not fully describe; use representative NDT where decisions are material.</t>
  </si>
  <si>
    <t>Current operating pressure</t>
  </si>
  <si>
    <t>What-if operating pressure</t>
  </si>
  <si>
    <t>Soil aggressiveness</t>
  </si>
  <si>
    <t>Low</t>
  </si>
  <si>
    <t>If unknown, engineer selects Unknown - Average or Unknown - Worst Case; the two options use different deterioration factors.</t>
  </si>
  <si>
    <t>Consequence of failure</t>
  </si>
  <si>
    <t>1 = low, 5 = critical</t>
  </si>
  <si>
    <t>Surge / transient head</t>
  </si>
  <si>
    <t>Structural condition</t>
  </si>
  <si>
    <t>Auto</t>
  </si>
  <si>
    <t>Default: Auto. For metallic Engineering Best-Practice, Auto derives a continuous structural retention from age/estimated-wall/soil diagnostics and cannot be worse than Very poor. For non-metallic Engineering Best-Practice, material-specific ageing/pressure/environment/cycling is already handled by the dedicated retained-condition equation, so Auto applies no second structural penalty; Good / Moderate / Poor / Very poor are explicit engineer overrides. Direct Wall/NDT or valid Acoustic evidence controls only when those methods are selected.</t>
  </si>
  <si>
    <t>Pressure class / rating</t>
  </si>
  <si>
    <t>Pressure cycling / surge severity</t>
  </si>
  <si>
    <t>Low / Moderate / High / Severe / Unknown - Average / Unknown - Worst Case. If evidence is incomplete, choose the uncertainty level deliberately: Unknown - Average applies the model's average unknown allowance; Unknown - Worst Case applies the same retention/sensitivity as Severe.</t>
  </si>
  <si>
    <t>ACOUSTIC CONDITION LIMITATION — Velocity-based wall thickness is an equivalent section-average condition derived from wave propagation, not a direct UT minimum-wall reading. Results depend on correct pipe material/diameter, elastic response, restraint, lining, water condition, absence of significant entrained air, and measurement quality. Cast iron properties and graphitization can vary. Use direct wall/NDT or local calibration where rehabilitation, replacement or structural safety decisions are material.</t>
  </si>
  <si>
    <t>Installation / joint condition</t>
  </si>
  <si>
    <t>Good</t>
  </si>
  <si>
    <t>Installation/joint condition now changes planning life; Poor or unknown-worst-case reduces remaining life</t>
  </si>
  <si>
    <t>Burst / failure history</t>
  </si>
  <si>
    <t>Auto from failure rate</t>
  </si>
  <si>
    <t>Default: Auto from failure rate. Select Nil / Minimal / Average / Severe only as an explicit engineer override. If Auto calculates Severe, Auto and manual Severe use the SAME graduated Severe retention for the same calculated failure rate; selection mode alone must not change remaining life.</t>
  </si>
  <si>
    <t>Recorded bursts / failures</t>
  </si>
  <si>
    <t>Optional non-negative whole count for the history period below. Invalid pasted text or decimal counts are blocked.</t>
  </si>
  <si>
    <t>Burst history period</t>
  </si>
  <si>
    <t>Years of available burst/failure history. If one or more failures are entered this must be greater than zero. Negative or non-numeric entries are blocked.</t>
  </si>
  <si>
    <t>Minimum required service pressure</t>
  </si>
  <si>
    <t>Supply regime</t>
  </si>
  <si>
    <t>Continuous supply</t>
  </si>
  <si>
    <t>Continuous or intermittent. Intermittent supply is always treated as worse than equivalent continuous supply. It forces at least Moderate pressure-cycling/transient severity for all pipes. Metallic pipes also receive a separate conservative internal-corrosion planning allowance because repeated draining/refilling can introduce oxygen where internal protection is absent or uncertain. External soil corrosion is unchanged.</t>
  </si>
  <si>
    <t>Assessment method</t>
  </si>
  <si>
    <t>Assessment confidence / basis</t>
  </si>
  <si>
    <t>Estimated current remaining-life range</t>
  </si>
  <si>
    <t>Estimated what-if remaining-life range</t>
  </si>
  <si>
    <t>Life impact from pressure change</t>
  </si>
  <si>
    <t>Calculated failure rate</t>
  </si>
  <si>
    <t>Burst / failure history classification</t>
  </si>
  <si>
    <t>Pressure-required wall — current (metallic only)</t>
  </si>
  <si>
    <t>Pressure-required wall — what-if (metallic only)</t>
  </si>
  <si>
    <t>Estimated remaining wall (where reference/evidence available)</t>
  </si>
  <si>
    <t>Structural / retained-condition factor</t>
  </si>
  <si>
    <t>Planning priority</t>
  </si>
  <si>
    <t>Recommended action</t>
  </si>
  <si>
    <t>Base planning / screening life</t>
  </si>
  <si>
    <t>Chronological age consumed</t>
  </si>
  <si>
    <t>Nominal life remaining before engineering adjustment</t>
  </si>
  <si>
    <t>Structural condition retention</t>
  </si>
  <si>
    <t>Installation / joint retention or factor</t>
  </si>
  <si>
    <t>Soil / environment retention or factor</t>
  </si>
  <si>
    <t>Transient / cycling retention or factor</t>
  </si>
  <si>
    <t>Burst-history retention</t>
  </si>
  <si>
    <t>Pressure vulnerability / demand indicator</t>
  </si>
  <si>
    <t>Controlling condition evidence</t>
  </si>
  <si>
    <t>Selected diameter healthy velocity range</t>
  </si>
  <si>
    <t>Nominal healthy reference envelope for the selected released material/diameter. A measured value below this envelope can still be valid condition evidence.</t>
  </si>
  <si>
    <t>Velocity gap outside healthy range</t>
  </si>
  <si>
    <t>Velocity condition / reference status</t>
  </si>
  <si>
    <t>CONDITION status, separate from physical validity: GREEN = within healthy reference; AMBER = valid but below healthy reference; RED = acoustic equivalent wall at/below planning-critical wall; CHECK = above healthy reference; INVALID = unusable input/calibration.</t>
  </si>
  <si>
    <t>Closest embedded velocity reference</t>
  </si>
  <si>
    <t>Closest same-material velocity reference</t>
  </si>
  <si>
    <t>Condition source controlling life</t>
  </si>
  <si>
    <t>Velocity-equivalent wall</t>
  </si>
  <si>
    <t>Velocity life interpretation</t>
  </si>
  <si>
    <t>Condition evidence used</t>
  </si>
  <si>
    <t>Spatial representativeness</t>
  </si>
  <si>
    <t>Condition evidence confidence</t>
  </si>
  <si>
    <t>Direct wall / reference wall ratio</t>
  </si>
  <si>
    <t>Direct wall reserve indicator (diagnostic)</t>
  </si>
  <si>
    <t>Direct wall plausibility</t>
  </si>
  <si>
    <t>Direct wall advice</t>
  </si>
  <si>
    <t>Direct wall remaining</t>
  </si>
  <si>
    <t>Direct wall condition</t>
  </si>
  <si>
    <t>Condition-based age consumed at measured point</t>
  </si>
  <si>
    <t>years — diagnostic only; direct measured wall controls the condition-based life calculation when Direct Wall/NDT is selected.</t>
  </si>
  <si>
    <t>Local failure trigger</t>
  </si>
  <si>
    <t>Direct wall condition finding</t>
  </si>
  <si>
    <t>PRESSURE &amp; REMAINING LIFE — GRAPHICAL CONDITION ASSESSMENT</t>
  </si>
  <si>
    <t>Location / road:</t>
  </si>
  <si>
    <t>Survey date:</t>
  </si>
  <si>
    <t>Length surveyed:</t>
  </si>
  <si>
    <t>Pipe material:</t>
  </si>
  <si>
    <t>Installation year:</t>
  </si>
  <si>
    <t>Burst history:</t>
  </si>
  <si>
    <t>Failure rate:</t>
  </si>
  <si>
    <t>Graphs update automatically from the front-page survey inputs. Graph 1 is a pressure-sensitivity planning curve in YEARS for the active material route; Graph 2 is a relative screening-risk index. Lines connect model output points for readability only. Neither graph predicts a sudden physical failure date.</t>
  </si>
  <si>
    <t xml:space="preserve">GRAPH 1— ESTIMATED LIFE YEARS </t>
  </si>
  <si>
    <t>Estimated remaining life (years)</t>
  </si>
  <si>
    <t>Relative failure risk index (0–100)</t>
  </si>
  <si>
    <t>Condition / life RAG</t>
  </si>
  <si>
    <t>HOW TO READ THE GRAPHS</t>
  </si>
  <si>
    <t>Graph 1 — life in years</t>
  </si>
  <si>
    <t>Shows the CENTRAL estimated remaining planning life at each operating pressure. The Dashboard shows a lower–upper range, so the curve is not expected to equal either end of that range. Read pressure on the horizontal axis and remaining years on the vertical axis.</t>
  </si>
  <si>
    <t>Burst history</t>
  </si>
  <si>
    <t>The selected failure-history class reduces retained life. For metallic pipes its additional pressure sensitivity applies at or above the 50 m peak-head reference. Entered surge is included at every graph point.</t>
  </si>
  <si>
    <t>Failure rate</t>
  </si>
  <si>
    <t>Graph 2 — relative index</t>
  </si>
  <si>
    <t>A 0–100 screening index calculated from the remaining-life estimate relative to nominal planning life. Higher means greater relative modelled vulnerability. It is NOT failure probability: an index of 80 does not mean an 80% chance of failure.</t>
  </si>
  <si>
    <t>Index 0</t>
  </si>
  <si>
    <t>The modelled remaining life equals the full nominal planning life. This is the lowest index in this model; it does not mean that failure is impossible.</t>
  </si>
  <si>
    <t>Index 100</t>
  </si>
  <si>
    <t>The selected screening route supports no positive remaining planning life. This signals a need for assessment or intervention; it does not predict certain or immediate physical failure.</t>
  </si>
  <si>
    <t>Read the two graphs together</t>
  </si>
  <si>
    <t>Pressure reduction may increase estimated life and reduce the index. The two graphs express the same underlying life calculation in different ways; Graph 2 is not independent confirmation of Graph 1.</t>
  </si>
  <si>
    <t>GRAPH 2 — RELATIVE FAILURE RISK</t>
  </si>
  <si>
    <t>Why the colour may differ</t>
  </si>
  <si>
    <t>The table colour uses the LOWER life bound: RED at 5 years or less, AMBER above 5 through 10, GREEN above 10. A worse Direct Wall reserve band takes precedence. The graph line shows central life and keeps one line colour.</t>
  </si>
  <si>
    <t>Minimum service pressure</t>
  </si>
  <si>
    <t>Any graph point below the entered minimum service pressure is RED even if estimated structural life is long. A low-pressure improvement is not an acceptable operating option unless service requirements are met.</t>
  </si>
  <si>
    <t>What changes along the curve</t>
  </si>
  <si>
    <t>Only operating pressure changes between points. The selected asset, age, method, condition evidence, burst history, supply regime and entered surge remain the same. Pressure-dependent critical wall and reserve are recalculated at each point.</t>
  </si>
  <si>
    <t>Pressure range and units</t>
  </si>
  <si>
    <t>The graph covers operating pressures equivalent to 10–110 m head, displayed in m head or psi. Values outside that range can be assessed in the Dashboard what-if input. Changing the unit selector does not convert numbers already entered in the Dashboard.</t>
  </si>
  <si>
    <t>Flat sections and bends</t>
  </si>
  <si>
    <t>Flat sections can arise from life caps, exhausted planning life or the non-metallic pressure-demand equation. Bends reflect model thresholds. Lower pressure cannot replace lost material; the curves are planning comparisons, not forecasts of the date a pipe will fail.</t>
  </si>
  <si>
    <t>When inputs are invalid</t>
  </si>
  <si>
    <t>Both plotted value series are cleared and the table says NOT ASSESSED. Correct the Dashboard input warning before interpreting either graph.</t>
  </si>
  <si>
    <t>PIPELINE CONDITION ASSESSMENT MODEL — USER GUIDE</t>
  </si>
  <si>
    <t>Model Development Team</t>
  </si>
  <si>
    <t>Stuart Hamilton — shamilton@hydrotec.ltd.uk
Raid Al-Zraikat — rzraikat@engicon.com
Naem Saleh — nsaleh@engicon.com
Danial Warq — dwarq@engicon.com</t>
  </si>
  <si>
    <t>v17.81 — working version</t>
  </si>
  <si>
    <t>Release date</t>
  </si>
  <si>
    <t>Program</t>
  </si>
  <si>
    <t>Pipeline Condition Assessment Model</t>
  </si>
  <si>
    <t>Basis</t>
  </si>
  <si>
    <t>Engineering screening</t>
  </si>
  <si>
    <t>Development statement</t>
  </si>
  <si>
    <t>Engineering methodology, calculation framework, assumptions register and program structure developed by Stuart Hamilton, Raid Al-Zraikat, Naem Saleh and Danial Warq. This model is a MESC III product, implemented by Engicon. Development-team attribution, MESC III identification, version number and date should be retained with distributed or adapted copies.</t>
  </si>
  <si>
    <t>MESC III</t>
  </si>
  <si>
    <t>MESC III Product — Implemented by Engicon</t>
  </si>
  <si>
    <t xml:space="preserve">Reviewed by </t>
  </si>
  <si>
    <t>Bambos Charalambous, Ignacio M. Peña, Igor Dundović , Jamie Patterson, Joe Dalton, Mike Wrigglesworth, Layla Al-Zraikat</t>
  </si>
  <si>
    <t>IMPORTANT</t>
  </si>
  <si>
    <t>This model is an engineering screening and planning tool issued as a working version. It does not replace material-specific condition assessment, applicable design standards or professional engineering judgement. Replace the example inputs before assessing an asset. Version-labelled sections below record historical changes; current method instructions and the v17.81 notes take precedence.</t>
  </si>
  <si>
    <t>Metric: exact internal/reference diameter in mm | Imperial: rounded inch display label with the exact metric reference in brackets</t>
  </si>
  <si>
    <t>The Imperial diameter label is simplified for readability, e.g. ~4 in (100 mm), but the calculation engine uses the exact metric reference shown in brackets. Diameter display rounding therefore does not change the engineering calculation.</t>
  </si>
  <si>
    <t>Use best verified diameter</t>
  </si>
  <si>
    <t>Metallic structural calculation and asset description</t>
  </si>
  <si>
    <t>Choose units before data entry. Switching units does not convert existing length, thickness or pressure numbers. Reselect diameter and convert/re-enter all unit-dependent inputs.</t>
  </si>
  <si>
    <t>Measured correlator velocity</t>
  </si>
  <si>
    <t>Measured acoustic velocity in m/ms</t>
  </si>
  <si>
    <t>For supported metallic pipes it helps estimate remaining average wall stiffness/thickness</t>
  </si>
  <si>
    <t>Only enter a measured value when Measured Acoustic Velocity is the selected method.</t>
  </si>
  <si>
    <t>Metallic acoustic route — Ductile iron, Grey cast iron and Carbon steel only</t>
  </si>
  <si>
    <t>When another method is selected the velocity field is ignored; do not use 0 as a measured acoustic value.</t>
  </si>
  <si>
    <t>Direct wall thickness</t>
  </si>
  <si>
    <t>Metric: governing measured remaining wall / point thickness in mm | Imperial: governing measured remaining wall / point thickness in decimal inches</t>
  </si>
  <si>
    <t>Direct Wall Thickness / NDT uses the actual governing measured wall as entered. The engineer is expected to measure or otherwise account for the lowest relevant pitting point at the inspected location. No additional generic pitting deduction is applied to Direct Wall measurements. Imperial values are converted to mm at 25.4 mm/in.</t>
  </si>
  <si>
    <t>Only enter a measured wall when Direct Wall Thickness / NDT is the selected method.</t>
  </si>
  <si>
    <t>Metallic Direct Wall/NDT route</t>
  </si>
  <si>
    <t>When another method is selected the wall field is ignored. When Direct Wall/NDT is active the entered value must be the governing measured remaining wall, not 0.</t>
  </si>
  <si>
    <t>Metric: normal operating pressure in metres head | Imperial: psi</t>
  </si>
  <si>
    <t>Current steady internal pressure</t>
  </si>
  <si>
    <t>Use representative logged pressure</t>
  </si>
  <si>
    <t>All routes</t>
  </si>
  <si>
    <t>Use representative pressure, not an isolated low reading</t>
  </si>
  <si>
    <t>Metric: proposed reduced/increased pressure in metres head | Imperial: psi</t>
  </si>
  <si>
    <t>Shows effect of pressure management on remaining life/risk</t>
  </si>
  <si>
    <t>Normally set equal to current pressure if no scenario</t>
  </si>
  <si>
    <t>Pressure reduction cannot restore lost material</t>
  </si>
  <si>
    <t>Low / Moderate / High / Severe / Unknown - Average / Unknown - Worst Case</t>
  </si>
  <si>
    <t>Represents external corrosion or chemical environment. The two unknown choices apply different deterioration factors.</t>
  </si>
  <si>
    <t>Engineer chooses Unknown - Average or Unknown - Worst Case.</t>
  </si>
  <si>
    <t>Metallic, AC and structural routes; smaller effect on plastics</t>
  </si>
  <si>
    <t>Average uses the mean known-condition factor; Worst Case uses the most severe factor.</t>
  </si>
  <si>
    <t>1 low to 5 critical</t>
  </si>
  <si>
    <t>Represents service/investment consequence</t>
  </si>
  <si>
    <t>Use 3</t>
  </si>
  <si>
    <t>Planning priority output</t>
  </si>
  <si>
    <t>Does not alter physical remaining life; it changes the rehabilitation priority</t>
  </si>
  <si>
    <t>Metric: additional transient head in metres | Imperial: additional pressure in psi</t>
  </si>
  <si>
    <t>Captures water hammer / operational transient loading</t>
  </si>
  <si>
    <t>Enter 0 only if no allowance is available</t>
  </si>
  <si>
    <t>A measured transient study is preferable</t>
  </si>
  <si>
    <t>Auto / Good / confirmed / Moderate / Poor / Very poor</t>
  </si>
  <si>
    <t>For metallic Engineering Best-Practice, Auto derives a continuous retained-structure factor from age, estimated/reference wall retention and soil/environment diagnostics, bounded by the governed Very-poor floor. For non-metallic Engineering Best-Practice, the dedicated retained-condition equation already includes age/pressure/environment/cycling, so Auto adds no second structural penalty. Direct Wall/NDT and valid Acoustic routes use their measured-evidence logic rather than applying the Engineering Best-Practice structural factor again.</t>
  </si>
  <si>
    <t>Use Auto unless a defensible engineer-assigned condition grade is available.</t>
  </si>
  <si>
    <t>All routes, with route-specific logic</t>
  </si>
  <si>
    <t>Manual condition grades are screening factors. Do not use a manual grade to override stronger direct evidence without engineering justification.</t>
  </si>
  <si>
    <t>Metric: pipe rated pressure in metres head | Imperial: psi</t>
  </si>
  <si>
    <t>Allows operating + surge pressure to be compared with pipe rating</t>
  </si>
  <si>
    <t>Use best design/standard record; default is only a placeholder</t>
  </si>
  <si>
    <t>Non-metallic routes</t>
  </si>
  <si>
    <t>Must be verified before investment decisions</t>
  </si>
  <si>
    <t>Represents repeated pressure-cycling and transient severity. Intermittent supply forces at least a Moderate cycling severity in the model.</t>
  </si>
  <si>
    <t>Use measured/SCADA/transient evidence where available; otherwise choose the uncertainty level deliberately.</t>
  </si>
  <si>
    <t>All material routes</t>
  </si>
  <si>
    <t>Qualitative screening factor until calibrated from operational/transient data.</t>
  </si>
  <si>
    <t>Good / Average / Poor / Unknown - Average / Unknown - Worst Case</t>
  </si>
  <si>
    <t>For metallic as well as non-metallic pipes, bedding, joints and workmanship affect the remaining planning life / retained condition.</t>
  </si>
  <si>
    <t>Poor joints can govern failures even where the barrel wall remains adequate.</t>
  </si>
  <si>
    <t>RAG result</t>
  </si>
  <si>
    <t>Headline RAG uses the lower remaining-life bound: RED at 5 years or less; AMBER above 5 through 10; GREEN above 10. A worse Direct Wall reserve band or pressure below the minimum service requirement takes precedence. The graph applies these same rules at each pressure point.</t>
  </si>
  <si>
    <t>GREEN = more than 10 years remaining; AMBER = more than 5 and up to 10 years; RED = 5 years or less remaining. The lower end of the planning-life range governs the headline RAG.</t>
  </si>
  <si>
    <t>Not an input</t>
  </si>
  <si>
    <t>Rehabilitation planning</t>
  </si>
  <si>
    <t>RED means approaching engineering end of planning life and triggers detailed assessment / rehabilitation planning; it is not restricted to zero years remaining.</t>
  </si>
  <si>
    <t>Estimated planning life remaining</t>
  </si>
  <si>
    <t>The Current Condition and What-if Pressure boxes use the same structural RAG logic. If current and what-if pressures are identical and both satisfy the minimum service-pressure requirement, life range, structural RAG and box colour are identical. If a what-if pressure is below the entered minimum service pressure, the What-if box is deliberately RED for operational non-compliance, but it separately states the underlying STRUCTURAL CONDITION and structural life range so users can see that the pipe itself may still be GREEN or AMBER.</t>
  </si>
  <si>
    <t>Comparative asset-management indicator</t>
  </si>
  <si>
    <t>N/A</t>
  </si>
  <si>
    <t>Investment prioritisation</t>
  </si>
  <si>
    <t>Example: minimum service pressure 20 m, what-if pressure 15 m, structural condition AMBER. The box remains RED because 15 m is operationally unacceptable, but it explicitly shows STRUCTURAL CONDITION: AMBER and the calculated structural-life range.</t>
  </si>
  <si>
    <t>Years gained/lost in the what-if scenario</t>
  </si>
  <si>
    <t>Shows potential value of pressure management</t>
  </si>
  <si>
    <t>Scenario planning</t>
  </si>
  <si>
    <t>Assumes other deterioration inputs remain unchanged</t>
  </si>
  <si>
    <t>Pressure-required wall</t>
  </si>
  <si>
    <t>Dashboard displays pressure-required wall in mm for Metric and inches for Imperial; the internal calculation remains in mm.</t>
  </si>
  <si>
    <t>Calculated metallic wall thickness required to resist the selected steady pressure plus surge and safety factor</t>
  </si>
  <si>
    <t>Pressure what-if comparison</t>
  </si>
  <si>
    <t>This is a screening structural requirement, not a measured wall thickness</t>
  </si>
  <si>
    <t>ENGINEERING ACTION is displayed directly with remaining life and responds to both pipe condition and consequence of failure. The condition colour remains a physical condition/life indicator; consequence strengthens the required engineering response without changing the physical condition colour.</t>
  </si>
  <si>
    <t>Combines pipe condition/life, consequence of failure and failure-history evidence. A critical consequence score (5/5) does not by itself make a GREEN-condition pipe VERY HIGH priority.</t>
  </si>
  <si>
    <t>For GREEN condition, consequence 1–2 supports routine monitoring; consequence 3 adds planned condition review; consequence 4 requires enhanced monitoring, contingency confirmation and forward rehabilitation planning; consequence 5 requires verified condition evidence, enhanced monitoring, documented contingency arrangements and near-term rehabilitation/renewal planning. AMBER and RED actions are similarly strengthened as consequence increases.</t>
  </si>
  <si>
    <t>HOW THE MATERIAL ROUTES DIFFER</t>
  </si>
  <si>
    <t>Measured Acoustic Velocity is a calibrated section-average stiffness/condition route released for Ductile iron, Grey cast iron and Carbon steel. Where one exact class reference exists, that wall/velocity pair is used; otherwise the embedded material/diameter central reference is used. A valid measured velocity is converted to acoustic equivalent wall using the calibrated Korteweg-style compliance relationship.</t>
  </si>
  <si>
    <t>The planning-critical wall is the maximum of the material policy minimum wall, the absolute minimum wall assumption and the pressure-required wall. It is a planning threshold, not a certified failure thickness. Acoustic life has ±20% screening uncertainty. A low velocity can therefore move a pipe materially toward AMBER or RED, but the result must still be verified where major intervention decisions depend on it.</t>
  </si>
  <si>
    <t>Metallic</t>
  </si>
  <si>
    <t>FINAL acoustic scope: Ductile iron, Grey cast iron and Carbon steel only. Copper is intentionally excluded from acoustic remaining-life assessment because correlator lookup velocities alone are not considered sufficient validation for converting Copper wave speed to remaining structural wall/life across differing field restraint and installation conditions. Copper remains available under Engineering Best-Practice and Direct Wall/NDT.</t>
  </si>
  <si>
    <t>Corrosion / wall thinning, pitting allowance, retained strength, pressure and surge</t>
  </si>
  <si>
    <t>Velocity may estimate remaining wall where reference data are available</t>
  </si>
  <si>
    <t>Plastic</t>
  </si>
  <si>
    <t>Dashboard Condition Assessment Method must be selected explicitly. Engineering Best-Practice Assessment uses age/environment/pressure/condition factors; Measured Acoustic Velocity uses the calibrated acoustic route; Direct Wall Thickness / NDT uses measured wall reserve to the planning-critical wall. Values left in an inactive measurement box are retained for audit but do not affect life.</t>
  </si>
  <si>
    <t>Ageing, creep/fatigue, pressure rating, surge/cycling, installation condition</t>
  </si>
  <si>
    <t>No direct velocity-to-wall-loss conversion</t>
  </si>
  <si>
    <t>Direct Wall Thickness / NDT is the preferred route where representative measurements are available. It has ±15% planning uncertainty in the model, but remains local evidence unless enough measurements demonstrate representativeness. Acoustic velocity is ignored whenever the direct-wall method is selected.</t>
  </si>
  <si>
    <t>GRP</t>
  </si>
  <si>
    <t>GRP / fiberglass</t>
  </si>
  <si>
    <t>Retained laminate strength, pressure cycles, joints and installation condition</t>
  </si>
  <si>
    <t>No direct corrosion wall-loss assumption</t>
  </si>
  <si>
    <t>Asbestos cement</t>
  </si>
  <si>
    <t>AC</t>
  </si>
  <si>
    <t>Ageing, chemical/leaching environment, brittleness and pressure demand</t>
  </si>
  <si>
    <t>Wall thickness alone is not treated as remaining strength</t>
  </si>
  <si>
    <t>Concrete / PCCP</t>
  </si>
  <si>
    <t>Concrete, PCCP</t>
  </si>
  <si>
    <t>Structural deterioration, cracking/reinforcement or prestressing condition, pressure and surge</t>
  </si>
  <si>
    <t>Specialist structural inspection is important</t>
  </si>
  <si>
    <t>UNIT EQUIVALENCE CHECK</t>
  </si>
  <si>
    <t>Equivalent Metric and Imperial entries produce the same internal engineering inputs. Switching the unit selector does not convert populated input cells. Reselect diameter and convert/re-enter length, direct wall, pressure, surge and rating. Acoustic velocity remains m/ms.</t>
  </si>
  <si>
    <t>Diameter: 25.4 mm = 1 inch</t>
  </si>
  <si>
    <t>Pressure: 1 psi = 0.7043373869 m head</t>
  </si>
  <si>
    <t>Length: 1 mile = 1.609344 km</t>
  </si>
  <si>
    <t>Acoustic velocity remains m/ms in all modes.</t>
  </si>
  <si>
    <t>MODEL GOVERNANCE / AVOIDANCE OF DOUBT</t>
  </si>
  <si>
    <t>1</t>
  </si>
  <si>
    <t>This is a condition-assessment and rehabilitation-planning screening tool. It does not certify fitness for service.</t>
  </si>
  <si>
    <t>2</t>
  </si>
  <si>
    <t>High-risk or high-consequence pipes should be confirmed using appropriate inspection/NDT and engineering assessment before capital decisions.</t>
  </si>
  <si>
    <t>3</t>
  </si>
  <si>
    <t>Engineering Best-Practice includes dedicated material-specific screening routes for PVC/uPVC, HDPE/MDPE, GRP/Fiberglass, Asbestos cement, Concrete and PCCP. These non-metallic/structural routes use nominal screening life, age, pressure utilisation, surge/cycling, installation/joint condition, environment, structural override and failure history. They are screening relationships and should be calibrated against manufacturer, utility failure-history or condition-inspection data for major investment decisions.</t>
  </si>
  <si>
    <t>METALLIC AGE-ONLY ASSESSMENT</t>
  </si>
  <si>
    <t>Where velocity and direct wall thickness are unknown, the model starts with the historic nominal/reference wall in the embedded pipe tables, including the thicker walls used in older cast-iron classes.</t>
  </si>
  <si>
    <t>Installation year alone does not mean a pipe has failed. Age-only results are low-confidence screening estimates and should be verified with correlator velocity, UT/NDT, failures/history or excavation evidence before rehabilitation decisions.</t>
  </si>
  <si>
    <t>METALLIC PLANNING-LIFE METHOD — AGE BASELINE + CONDITION EVIDENCE</t>
  </si>
  <si>
    <t>Chronological age is first compared with the material's nominal planning life. Nominal planning life is an asset-management reference and baseline, not a certified failure age or a hard expiry date.</t>
  </si>
  <si>
    <t>Where no credible measured condition evidence is selected, the model uses the nominal chronological remaining life together with soil, pressure/surge, installation/joint condition, operating regime and failure-history factors to produce the engineering screening result.</t>
  </si>
  <si>
    <t>Direct Wall uses the governing measured wall without a generic pitting deduction. Remaining wall above the planning-critical wall is divided by the governing deterioration rate. This reserve then limits the evidence horizon continuously at every pipe age.</t>
  </si>
  <si>
    <t>4</t>
  </si>
  <si>
    <t>Measured wall evidence can move life in either direction. A poor measured wall can reduce remaining life immediately even on a younger pipe; a healthy measured wall can support a longer condition-based planning horizon even before the nominal planning age is reached.</t>
  </si>
  <si>
    <t>5</t>
  </si>
  <si>
    <t>The measured-evidence horizon is the larger of chronological remaining life and the 25-year review horizon. Direct Wall also limits that horizon to measured wall-reserve life. Independent retention and pressure factors may reduce the result, but cannot increase it above the selected horizon.</t>
  </si>
  <si>
    <t>6</t>
  </si>
  <si>
    <t>A single Direct Wall/NDT reading is local point evidence only. Section-level life extension requires sufficient representative measurements, confirmation of pipe identity/original wall where practicable, and periodic engineering reassessment. The model remains a rehabilitation-planning screening tool, not a certified fitness-for-service prediction.</t>
  </si>
  <si>
    <t>METALLIC WALL THICKNESS METHOD</t>
  </si>
  <si>
    <t>The model does not assume every metallic pipe has the same original wall thickness. Reference/original wall comes from the embedded material + diameter + selected pipe class/reference table where available. In Engineering Best-Practice, this reference-wall effect is retained even when the engineer selects a manual structural-condition category; the manual structural input no longer suppresses the pipe-class effect.</t>
  </si>
  <si>
    <t>For Grey Cast Iron, Class 1, 2, 3 and (where available) Class 4 use different embedded reference walls. At a common age and operating condition, the class can therefore change the Engineering Best-Practice remaining-life estimate. However, Engineering Best-Practice does not use class alone to extend a metallic pipe beyond the nominal planning-life horizon: once chronological age has exhausted that horizon, direct wall/NDT or another appropriate condition-evidence route is required to justify positive remaining life.</t>
  </si>
  <si>
    <t>For Direct Wall/NDT, the model converts the actual governing measured wall reserve above the critical planning wall into a condition-based time horizon using the calculated material deterioration rate. No generic pitting allowance is deducted from the Direct Wall measurement because the entered value is assumed to reflect the engineer's governing measured point. This measured reserve is used regardless of whether the pipe is below or above its nominal planning age.</t>
  </si>
  <si>
    <t>Direct Wall planning life uses the smaller of calculated measured wall-reserve life and the larger of chronological remaining life or the 25-year review horizon. Retention and pressure factors then apply, capped at that selected horizon. Passing 25 years of reserve does not trigger a different calculation branch.</t>
  </si>
  <si>
    <t>The current model does not contain installation-year-specific manufacturing wall tables. A 1950, 1960 and 1980 pipe of the same material, diameter and selected class therefore start from the same reference nominal wall; the installation year changes chronological age, while verified measured wall provides the independent condition evidence.</t>
  </si>
  <si>
    <t>PRACTICAL INTERPRETATION</t>
  </si>
  <si>
    <t>Example: a 1950 and a 1960 Grey Cast Iron pipe with the same verified healthy wall thickness may return a similar condition-based planning horizon because measured wall condition is controlling. There should be no sudden life jump simply when the nominal 75-year planning age is crossed.</t>
  </si>
  <si>
    <t>Direct Wall/NDT</t>
  </si>
  <si>
    <t>Conversely, a low measured wall can drive the result to RED immediately regardless of chronological age.</t>
  </si>
  <si>
    <t>AMBER / APPROACHING ENGINEERING END-OF-LIFE RESPONSE</t>
  </si>
  <si>
    <t>When the model turns AMBER, more than 0 but no more than 10 years of planning life remains. The asset is approaching engineering end of life and should not remain on routine monitoring alone.</t>
  </si>
  <si>
    <t>Detailed targeted condition surveys should be undertaken to establish actual condition and improve confidence in the rehabilitation decision.</t>
  </si>
  <si>
    <t>The survey scope should be proportionate to material, consequence of failure and accessibility.</t>
  </si>
  <si>
    <t>For metallic pipes this may include correlator velocity review, UT/NDT wall-thickness checks, targeted excavation, corrosion/pitting assessment, failure-history analysis and pressure/transient monitoring.</t>
  </si>
  <si>
    <t>For non-metallic or structural pipes, use material-appropriate inspection such as joint/installation review, internal or external structural inspection, cracking/laminate assessment, pressure-cycle review or specialist testing.</t>
  </si>
  <si>
    <t>Use the survey findings to decide whether to rehabilitate or renew, reduce pressure, increase monitoring frequency, or retain the asset with a defined reassessment date.</t>
  </si>
  <si>
    <t>STRUCTURAL CONDITION — TWO PURPOSES</t>
  </si>
  <si>
    <t>The selected Structural Condition affects planning life through a planning-retention factor, while the pressure/wall calculation uses a separate structural-strength factor. They are intentionally different outputs: one is an asset-planning modifier and the other is a pressure-capacity screening factor.</t>
  </si>
  <si>
    <t>SOURCE VELOCITY TABLE UNITS</t>
  </si>
  <si>
    <t>The model uses the units shown by the velocity table itself, not merely the nominal pipe-size label.</t>
  </si>
  <si>
    <t>Where velocity is in metres/second, diameter and wall thickness are treated as metric and wall thickness is in millimetres.</t>
  </si>
  <si>
    <t>Where velocity is in feet/second, the associated diameter/wall values are treated as imperial; wall thickness is converted from inches to millimetres and velocity is converted from ft/s to m/ms before use.</t>
  </si>
  <si>
    <t>An imperial nominal size such as 8-inch does not by itself mean the wall value is inches when the table gives metric diameter/wall and metric velocity values.</t>
  </si>
  <si>
    <t>CONDITION-DEPENDENT PRESSURE EFFECT</t>
  </si>
  <si>
    <t>50 m head is the neutral reference pressure, but it is no longer a floor below which pressure has no effect.</t>
  </si>
  <si>
    <t>Metallic pressure sensitivity reflects structural reserve, joints and soil. Failure history adds sensitivity only when peak head is at or above 50 m. Cycling reduces life through its retention factor; it does not increase pressure-benefit sensitivity.</t>
  </si>
  <si>
    <t>For a good pipe in benign conditions, reducing pressure below 50 m may produce little or no extra planning life because there is little engineering penalty to recover.</t>
  </si>
  <si>
    <t>Below the 50 m peak-head reference, pressure reduction can partly offset screening penalties. EBP remains capped at chronological remaining life. Measured routes use the evidence horizon described in rows 42–50. Burst history retains its penalty without adding a low-pressure bonus.</t>
  </si>
  <si>
    <t>Peak transient surge is added to steady operating pressure, while pressure-cycling severity separately represents how often significant pressure cycles occur.</t>
  </si>
  <si>
    <t>HOW TO READ THE PRESSURE GRAPHS</t>
  </si>
  <si>
    <t>Graph 1 is the primary graph. Horizontal axis: operating pressure in the selected units (m head or psi). Vertical axis: central estimated remaining planning life in years.</t>
  </si>
  <si>
    <t>Graph 1 shows the central estimated remaining planning life against operating pressure for the selected method, including the entered surge. The Dashboard reports a range around that central estimate. The table RAG uses the lower bound plus Direct Wall reserve and minimum-service-pressure rules, so it need not match a band inferred from the central plotted value.</t>
  </si>
  <si>
    <t>Graph 2 is a relative screening index from 0 to 100, derived from the same remaining-life calculation as Graph 1. Higher means greater relative modelled vulnerability. An index of 80 does not mean 80% failure probability, and the second graph is not independent evidence.</t>
  </si>
  <si>
    <t>For rehabilitation and pressure-management decisions, read Graph 1 first. Use Graph 2 only to compare relative vulnerability at different pressures.</t>
  </si>
  <si>
    <t>ASSET IDENTIFICATION &amp; BURST HISTORY</t>
  </si>
  <si>
    <t>Location / road / street</t>
  </si>
  <si>
    <t>Enter the road, street, zone or asset identifier for the pipe section.</t>
  </si>
  <si>
    <t>Copied automatically to the graph/print page.</t>
  </si>
  <si>
    <t>Required for asset identification.</t>
  </si>
  <si>
    <t>Front page and printed graph page</t>
  </si>
  <si>
    <t>Use a consistent asset naming convention.</t>
  </si>
  <si>
    <t>Date the pipe condition survey was completed.</t>
  </si>
  <si>
    <t>Enter actual survey date.</t>
  </si>
  <si>
    <t>Allows repeat surveys to be compared over time.</t>
  </si>
  <si>
    <t>Total pipe length included in this assessment: km in Metric mode; miles in Imperial mode.</t>
  </si>
  <si>
    <t>Used to normalize recorded failures into the selected display rate and copied to the graph page.</t>
  </si>
  <si>
    <t>Use measured/GIS length.</t>
  </si>
  <si>
    <t>Failure-rate calculation and print identification</t>
  </si>
  <si>
    <t>The burst count must relate to the same assessed length.</t>
  </si>
  <si>
    <t>Nil / Minimal / Average / Severe</t>
  </si>
  <si>
    <t>Engineer classification of historic failure behaviour for the assessed pipe section.</t>
  </si>
  <si>
    <t>Use best available utility maintenance records.</t>
  </si>
  <si>
    <t>All material life calculations</t>
  </si>
  <si>
    <t>Classification directly changes remaining-life retention and pressure sensitivity.</t>
  </si>
  <si>
    <t>Actual number of failures during the entered history period.</t>
  </si>
  <si>
    <t>Used with pipe length and history period to calculate the normalized failure rate.</t>
  </si>
  <si>
    <t>May be left at 0 if records are unavailable.</t>
  </si>
  <si>
    <t>Failure-rate calculation</t>
  </si>
  <si>
    <t>Only include failures attributable to the assessed pipe length.</t>
  </si>
  <si>
    <t>Number of years covered by the recorded burst count.</t>
  </si>
  <si>
    <t>Normalizes failure history to an annual rate.</t>
  </si>
  <si>
    <t>Use the actual period of reliable records.</t>
  </si>
  <si>
    <t>A longer reliable history is generally more representative.</t>
  </si>
  <si>
    <t>Failure-rate display: bursts/100 km/year in Metric, bursts/100 miles/year in Imperial. Assessment history uses the recorded count, period and surveyed length directly. B25 is a protected calculated display. The engineering calculation uses the source inputs directly.</t>
  </si>
  <si>
    <t>Count divided by assessed km and years of history.</t>
  </si>
  <si>
    <t>Calculated automatically.</t>
  </si>
  <si>
    <t>Planning evidence / calibration</t>
  </si>
  <si>
    <t>Informational at present; the engineer-selected history category drives the life factor.</t>
  </si>
  <si>
    <t>Printing</t>
  </si>
  <si>
    <t>No separate entry</t>
  </si>
  <si>
    <t>Location, survey date, length, material, installation year, burst history and calculated failure rate are copied automatically to the top of the graph sheet.</t>
  </si>
  <si>
    <t>Printed results</t>
  </si>
  <si>
    <t>Complete the front-page inputs; the graph page updates automatically. B25 updates automatically from the source inputs and is protected against manual editing.</t>
  </si>
  <si>
    <t>AUTOMATIC FAILURE-HISTORY CLASSIFICATION</t>
  </si>
  <si>
    <t>Recommended default</t>
  </si>
  <si>
    <t>The model calculates a normalized failure rate and applies the current screening bands on a canonical bursts/100 km/year basis.</t>
  </si>
  <si>
    <t>Select Auto unless engineering evidence justifies an override.</t>
  </si>
  <si>
    <t>Life and pressure-sensitivity calculation</t>
  </si>
  <si>
    <t>The effective class is shown on the front page and graph page.</t>
  </si>
  <si>
    <t>Nil</t>
  </si>
  <si>
    <t>0 bursts/100 km/year</t>
  </si>
  <si>
    <t>No recorded failures in the entered history period.</t>
  </si>
  <si>
    <t>Automatic band</t>
  </si>
  <si>
    <t>No additional failure-history life penalty.</t>
  </si>
  <si>
    <t>A zero count is only as reliable as the maintenance records.</t>
  </si>
  <si>
    <t>Minimal</t>
  </si>
  <si>
    <t>&gt;0 to 12.5 bursts/100 km/year</t>
  </si>
  <si>
    <t>Low historic failure frequency.</t>
  </si>
  <si>
    <t>3% life-retention penalty plus small pressure-sensitivity increase.</t>
  </si>
  <si>
    <t>Initial screening threshold.</t>
  </si>
  <si>
    <t>Average</t>
  </si>
  <si>
    <t>&gt;12.5 to 20 bursts/100 km/year</t>
  </si>
  <si>
    <t>Recurring failure history.</t>
  </si>
  <si>
    <t>10% life-retention penalty plus increased pressure sensitivity.</t>
  </si>
  <si>
    <t>Severe</t>
  </si>
  <si>
    <t>&gt;20 bursts/100 km/year</t>
  </si>
  <si>
    <t>High/repeated failure history.</t>
  </si>
  <si>
    <t>Severe retention starts at 0.75 and decreases to 0.60 at 80 bursts/100 km/year; pressure vulnerability is added above the 50 m peak-head reference.</t>
  </si>
  <si>
    <t>Initial screening threshold; utilities should calibrate against their own failure database.</t>
  </si>
  <si>
    <t>ENGINEERING PRINCIPLE — DATA HIERARCHY</t>
  </si>
  <si>
    <t>Priority 1</t>
  </si>
  <si>
    <t>Direct measured condition</t>
  </si>
  <si>
    <t>UT/NDT wall thickness, verified material/class, measured pressure/transients and reliable failure records should override generic assumptions.</t>
  </si>
  <si>
    <t>Measured evidence</t>
  </si>
  <si>
    <t>Highest confidence</t>
  </si>
  <si>
    <t>Use material-appropriate specialist assessment for critical assets.</t>
  </si>
  <si>
    <t>Priority 2</t>
  </si>
  <si>
    <t>Correlator / acoustic velocity</t>
  </si>
  <si>
    <t>For supported metallic pipes, measured wave velocity is compared with the reference velocity/wall table to infer average wall condition.</t>
  </si>
  <si>
    <t>Derived measurement</t>
  </si>
  <si>
    <t>Medium confidence</t>
  </si>
  <si>
    <t>Local pitting/graphitisation may not be represented by an average acoustic response.</t>
  </si>
  <si>
    <t>For supported metallic pipes, measured wave velocity is compared with the reference velocity/wall table to infer average wall condition. Measured wall/velocity evidence is allowed to worsen any manual structural grade so optimistic grading cannot override adverse measurements.</t>
  </si>
  <si>
    <t>Priority 4</t>
  </si>
  <si>
    <t>Planning assumptions</t>
  </si>
  <si>
    <t>Age, soil, structural condition, installation/joints, cycling, pressure and failure history create a screening planning-life estimate.</t>
  </si>
  <si>
    <t>Model assumption</t>
  </si>
  <si>
    <t>Low confidence</t>
  </si>
  <si>
    <t>Suitable for prioritisation, not certification of fitness for service.</t>
  </si>
  <si>
    <t>Rule</t>
  </si>
  <si>
    <t>Pressure management cannot restore lost wall</t>
  </si>
  <si>
    <t>Pressure reduction can partly offset future loading penalties. The applicable chronological or measured-evidence horizon caps the result.</t>
  </si>
  <si>
    <t>Engineering constraint</t>
  </si>
  <si>
    <t>All metallic routes</t>
  </si>
  <si>
    <t>Prevents unrealistic life creation.</t>
  </si>
  <si>
    <t>Previous failures are evidence</t>
  </si>
  <si>
    <t>Burst history represents hidden deterioration mechanisms not fully captured by other inputs.</t>
  </si>
  <si>
    <t>Asset-management screening</t>
  </si>
  <si>
    <t>Failure class affects retained life and pressure vulnerability.</t>
  </si>
  <si>
    <t>Consequence is separate from physical life</t>
  </si>
  <si>
    <t>Consequence changes planning priority, not life calculation.</t>
  </si>
  <si>
    <t>Risk management</t>
  </si>
  <si>
    <t>Planning only</t>
  </si>
  <si>
    <t>Prevents consequence being misrepresented as deterioration.</t>
  </si>
  <si>
    <t>Red / Amber are planning states</t>
  </si>
  <si>
    <t>RED = calculated planning life exhausted; AMBER = &gt;0 to 10 years and requires targeted surveys.</t>
  </si>
  <si>
    <t>Planning governance</t>
  </si>
  <si>
    <t>RAG</t>
  </si>
  <si>
    <t>Neither is proof of immediate physical failure.</t>
  </si>
  <si>
    <t>METALLIC CALCULATION MAP — FORMULAS &amp; PRINCIPLES</t>
  </si>
  <si>
    <t>1. Pipe age</t>
  </si>
  <si>
    <t>Age = current year − installation year</t>
  </si>
  <si>
    <t>Chronological age consumes base planning life one-for-one.</t>
  </si>
  <si>
    <t>Formula / chronology</t>
  </si>
  <si>
    <t>Calc Engine B15</t>
  </si>
  <si>
    <t>No acceleration of historical years.</t>
  </si>
  <si>
    <t>2. Base planning life</t>
  </si>
  <si>
    <t>75 years for Grey cast iron, ductile iron, carbon steel and Unknown metallic.</t>
  </si>
  <si>
    <t>Project planning assumption</t>
  </si>
  <si>
    <t>Assumptions F4:F6/F9</t>
  </si>
  <si>
    <t>Not a universal physical lifespan; condition/vintage data should override.</t>
  </si>
  <si>
    <t>3. Nominal remaining life</t>
  </si>
  <si>
    <t>MAX(0, base planning life − chronological age)</t>
  </si>
  <si>
    <t>Age-first principle</t>
  </si>
  <si>
    <t>Calc Engine L8</t>
  </si>
  <si>
    <t>Engineering modifiers are applied afterwards.</t>
  </si>
  <si>
    <t>4. Reference wall</t>
  </si>
  <si>
    <t>Selected from material + diameter + class table; Unknown Average/Worst Case use corresponding table rows.</t>
  </si>
  <si>
    <t>Source data</t>
  </si>
  <si>
    <t>Calc Engine B16</t>
  </si>
  <si>
    <t>Internal units = mm.</t>
  </si>
  <si>
    <t>5. Direct wall route</t>
  </si>
  <si>
    <t>If direct wall &gt; 0, remaining wall = measured wall.</t>
  </si>
  <si>
    <t>Calc Engine B18</t>
  </si>
  <si>
    <t>Representative sampling/local pitting still matter.</t>
  </si>
  <si>
    <t>6. Velocity route</t>
  </si>
  <si>
    <t>Measured velocity is compared with healthy reference velocity and reference wall using the wave-speed relationship.</t>
  </si>
  <si>
    <t>Acoustic screening</t>
  </si>
  <si>
    <t>Requires valid material/reference table.</t>
  </si>
  <si>
    <t>7. Age-only wall route</t>
  </si>
  <si>
    <t>Reference wall − age × base corrosion rate × soil multiplier.</t>
  </si>
  <si>
    <t>Screening assumption</t>
  </si>
  <si>
    <t>Corrosion rates are editable defaults, not universal rates.</t>
  </si>
  <si>
    <t>8. Pitting allowance</t>
  </si>
  <si>
    <t>Direct Wall: use the governing measured wall without a generic pitting deduction. Engineering/Acoustic diagnostic planning wall may use the model pitting allowance; the calibrated acoustic reserve uses its stated equivalent-wall relationship.</t>
  </si>
  <si>
    <t>Conservative screening allowance</t>
  </si>
  <si>
    <t>Calc Engine B19</t>
  </si>
  <si>
    <t>Field pitting measurements preferred.</t>
  </si>
  <si>
    <t>10. Soil retention</t>
  </si>
  <si>
    <t>Known soil: Low / Moderate / High / Severe. Unknown Average = average known deterioration factor (1.0875); Unknown Worst Case = Severe (1.35). Retention = MIN(1, 1 / deterioration factor).</t>
  </si>
  <si>
    <t>Planning-life modifier</t>
  </si>
  <si>
    <t>Calc Engine L3/L9</t>
  </si>
  <si>
    <t>The two Unknown choices now calculate differently.</t>
  </si>
  <si>
    <t>Low soil does not extend life beyond nominal chronological life.</t>
  </si>
  <si>
    <t>11. Structural retention</t>
  </si>
  <si>
    <t>Engineering Best-Practice manual grade: Good 1.00; Moderate 0.92; Poor 0.80; Very poor 0.65. Auto is the default. Direct Wall/NDT does not multiply a second wall-derived structural-retention factor into life because the measured wall already controls reserve life and observed deterioration. Measured Acoustic retains its calibrated structural-reserve factor.</t>
  </si>
  <si>
    <t>Measured evidence has precedence</t>
  </si>
  <si>
    <t>Calc Engine L17</t>
  </si>
  <si>
    <t>This prevents an optimistic manual grade from overriding adverse measured wall condition.</t>
  </si>
  <si>
    <t>Metallic Engineering Auto derives retention from age, wall condition and soil, bounded by the Very-poor floor. It does not require an entered measurement.</t>
  </si>
  <si>
    <t>Metallic Engineering manual structural grades retain the class/reference-wall effect. Auto uses the current age, estimated-wall and soil diagnostics. Non-metallic Auto adds no duplicate structural penalty.</t>
  </si>
  <si>
    <t>Calibratable assumption</t>
  </si>
  <si>
    <t>Avoids double-counting age/soil when Auto has no independent measurement.</t>
  </si>
  <si>
    <t>12. Installation/joint retention</t>
  </si>
  <si>
    <t>Good 1.00; Average 0.97; Poor 0.85; Unknown Average 0.94; Unknown Worst Case 0.85.</t>
  </si>
  <si>
    <t>Calc Engine L18</t>
  </si>
  <si>
    <t>Represents bedding/workmanship/joint vulnerability.</t>
  </si>
  <si>
    <t>13. Cycling retention</t>
  </si>
  <si>
    <t>Low 1.00; Moderate 0.98; High 0.94; Severe 0.88; Unknown Average 0.95; Unknown Worst Case 0.88.</t>
  </si>
  <si>
    <t>Calc Engine L22</t>
  </si>
  <si>
    <t>Frequency effect is separate from surge magnitude.</t>
  </si>
  <si>
    <t>14. Failure-history retention</t>
  </si>
  <si>
    <t>Burst-history retention: Nil 1.00; Minimal 0.97; Average 0.90. Severe starts at 0.75 at the &gt;20 bursts/100 km/year threshold and reduces to a 0.60 floor at 80 bursts/100 km/year and above. Auto-derived Severe and manual Severe use the SAME graduated factor for the same calculated failure rate; selection mode alone must not change remaining life.</t>
  </si>
  <si>
    <t>Calc Engine L30</t>
  </si>
  <si>
    <t>Observed failures influence planning life.</t>
  </si>
  <si>
    <t>15. Pressure vulnerability</t>
  </si>
  <si>
    <t>Base sensitivity + structural, joint and soil contributions. Add the failure-history sensitivity only at peak head of 50 m or above. Cycling acts through life retention.</t>
  </si>
  <si>
    <t>Calibratable scenario model</t>
  </si>
  <si>
    <t>Calc Engine L24</t>
  </si>
  <si>
    <t>Poorer assets become more pressure-sensitive.</t>
  </si>
  <si>
    <t>16. Pressure modifier</t>
  </si>
  <si>
    <t>EXP[−V × (peak head / 50 m − 1)].</t>
  </si>
  <si>
    <t>Scenario equation</t>
  </si>
  <si>
    <t>Calc Engine L25/L26</t>
  </si>
  <si>
    <t>Below 50 m may improve life; above 50 m reduces it.</t>
  </si>
  <si>
    <t>17. Adjusted planning life</t>
  </si>
  <si>
    <t>Apply the route horizon, soil, route-specific structural retention, joints, cycling, failure retention, pressure modifier and metallic intermittent-supply allowance. Cap central and upper life at the applicable route horizon. Direct Wall horizon also cannot exceed measured reserve years.</t>
  </si>
  <si>
    <t>Core equation</t>
  </si>
  <si>
    <t>Calc Engine L13/L14</t>
  </si>
  <si>
    <t>EBP: chronological cap. Measured routes: evidence cap, with Direct Wall limited by measured reserve.</t>
  </si>
  <si>
    <t>FAILURE / BURST HISTORY — CALCULATION BASIS (BURSTS/100 KM/YEAR)</t>
  </si>
  <si>
    <t>FAILURE / BURST HISTORY — CALCULATION BASIS</t>
  </si>
  <si>
    <t>100 × recorded bursts ÷ (surveyed length in km × history years).</t>
  </si>
  <si>
    <t>Normalises street length and record period.</t>
  </si>
  <si>
    <t>Formula</t>
  </si>
  <si>
    <t>Dashboard B25</t>
  </si>
  <si>
    <t>Canonical classification units = bursts/100 km/year.</t>
  </si>
  <si>
    <t>No recorded failures in entered period.</t>
  </si>
  <si>
    <t>Auto class</t>
  </si>
  <si>
    <t>Calc Engine B46</t>
  </si>
  <si>
    <t>Depends on record completeness.</t>
  </si>
  <si>
    <t>Literature-informed screening band</t>
  </si>
  <si>
    <t>0.125/km/year ≈ 0.20/mile/year.</t>
  </si>
  <si>
    <t>Recurring failure history around broad network rates in EPA literature.</t>
  </si>
  <si>
    <t>Not a universal standard.</t>
  </si>
  <si>
    <t>Above the model Average band.</t>
  </si>
  <si>
    <t>Screening threshold</t>
  </si>
  <si>
    <t>Replace with utility-specific service/cost threshold where possible.</t>
  </si>
  <si>
    <t>Engineer override</t>
  </si>
  <si>
    <t>Manual Nil / Minimal / Average / Severe remains available.</t>
  </si>
  <si>
    <t>Local knowledge can supersede incomplete records.</t>
  </si>
  <si>
    <t>Engineering judgement</t>
  </si>
  <si>
    <t>Dashboard B22</t>
  </si>
  <si>
    <t>Effective class shows Auto or Override.</t>
  </si>
  <si>
    <t>Life effect</t>
  </si>
  <si>
    <t>History retention multiplies remaining life after age.</t>
  </si>
  <si>
    <t>Calc Engine L30/L33</t>
  </si>
  <si>
    <t>Not a statistical survival model.</t>
  </si>
  <si>
    <t>Pressure effect</t>
  </si>
  <si>
    <t>History adds 0.00 / 0.05 / 0.12 / 0.25 to pressure vulnerability.</t>
  </si>
  <si>
    <t>Calc Engine L31/L24</t>
  </si>
  <si>
    <t>Repeated failures imply reduced structural reserve.</t>
  </si>
  <si>
    <t>RELATIVE FAILURE RISK INDEX — NOT A FAILURE PROBABILITY</t>
  </si>
  <si>
    <t>Purpose</t>
  </si>
  <si>
    <t>Relative planning index derived from estimated remaining life; not a probability or independent condition measurement.</t>
  </si>
  <si>
    <t>Shows relative vulnerability changes with pressure for the same pipe.</t>
  </si>
  <si>
    <t>Screening index</t>
  </si>
  <si>
    <t>Graph 2</t>
  </si>
  <si>
    <t>Not percentage probability of failure.</t>
  </si>
  <si>
    <t>100 × [1 − MIN(1, central remaining planning life ÷ nominal planning life)]², bounded from 0 to 100. A zero remaining-life estimate gives index 100; full nominal remaining life gives index 0.</t>
  </si>
  <si>
    <t>0 at full base life and approaches 100 at zero planning life.</t>
  </si>
  <si>
    <t>Heuristic index</t>
  </si>
  <si>
    <t>Calc Engine L28/L29</t>
  </si>
  <si>
    <t>Exponent 2 is editable.</t>
  </si>
  <si>
    <t>RAG independence</t>
  </si>
  <si>
    <t>RAG uses the lower life bound, with worse Direct Wall reserve or minimum-service-pressure non-compliance taking precedence; it is not based on risk-index value.</t>
  </si>
  <si>
    <t>Avoids arbitrary risk-index renewal triggers.</t>
  </si>
  <si>
    <t>Governance</t>
  </si>
  <si>
    <t>GREEN &gt;10 years; AMBER &gt;5–10; RED &lt;=5.</t>
  </si>
  <si>
    <t>Graph use</t>
  </si>
  <si>
    <t>Graph 1 (years) is primary; Graph 2 is secondary.</t>
  </si>
  <si>
    <t>Keeps planning tied to an understandable life output.</t>
  </si>
  <si>
    <t>User guidance</t>
  </si>
  <si>
    <t>Use index only for comparison.</t>
  </si>
  <si>
    <t>NON-METALLIC / STRUCTURAL ROUTE — SCREENING EQUATIONS</t>
  </si>
  <si>
    <t>Base lives</t>
  </si>
  <si>
    <t>PVC 80; HDPE 100; GRP 70; AC 60; Concrete 80; PCCP 75 years. These are editable conservative screening horizons used by this model; they are not manufacturer warranties, universal service lives or physical failure ages.</t>
  </si>
  <si>
    <t>Editable planning assumptions</t>
  </si>
  <si>
    <t>Assumptions B23:B28</t>
  </si>
  <si>
    <t>Not manufacturer warranties.</t>
  </si>
  <si>
    <t>Age fraction</t>
  </si>
  <si>
    <t>Chronological age / nominal screening life. The screening horizon is an age-normalisation boundary, not a claim that the pipe physically fails at that age.</t>
  </si>
  <si>
    <t>Chronology</t>
  </si>
  <si>
    <t>Calc Engine I4</t>
  </si>
  <si>
    <t>Feeds retained-condition curve.</t>
  </si>
  <si>
    <t>Pressure ratio</t>
  </si>
  <si>
    <t>(operating pressure + surge) / pressure rating.</t>
  </si>
  <si>
    <t>Pressure demand</t>
  </si>
  <si>
    <t>Calc Engine I5/I6</t>
  </si>
  <si>
    <t>Verify rating for investment decisions.</t>
  </si>
  <si>
    <t>Cycling factor</t>
  </si>
  <si>
    <t>Low 1.00; Moderate 1.10; High 1.25; Severe 1.45; Unknown Average 1.20; Unknown Worst Case 1.45.</t>
  </si>
  <si>
    <t>Calc Engine I7</t>
  </si>
  <si>
    <t>Unknown Average logic corrected in this audit.</t>
  </si>
  <si>
    <t>Installation factor</t>
  </si>
  <si>
    <t>Good 0.95; Average 1.00; Poor 1.25; Unknown Average 1.067; Unknown Worst Case 1.25.</t>
  </si>
  <si>
    <t>Calc Engine I8</t>
  </si>
  <si>
    <t>Higher factor accelerates condition loss.</t>
  </si>
  <si>
    <t>Environment factor</t>
  </si>
  <si>
    <t>Material-specific environment factor by soil/environment category. Diameter is retained as an asset/selection attribute but is not given an arbitrary independent degradation penalty in the non-metallic Engineering Best-Practice equation; pressure rating, age, environment, cycling, installation/joints, structural condition and failure history provide the screening demand/condition basis. Where diameter-specific wall/SDR/stiffness/external-load effects matter, use manufacturer/design data or specialist condition assessment.</t>
  </si>
  <si>
    <t>Calc Engine I9</t>
  </si>
  <si>
    <t>AC intentionally more environment-sensitive than plastic.</t>
  </si>
  <si>
    <t>Ageing exponent</t>
  </si>
  <si>
    <t>Plastic 1.7; GRP 1.5; AC 1.8; PCCP 1.6; Concrete 1.5.</t>
  </si>
  <si>
    <t>Heuristic parameter</t>
  </si>
  <si>
    <t>Calc Engine I10</t>
  </si>
  <si>
    <t>Requires local/manufacturer calibration for predictive use.</t>
  </si>
  <si>
    <t>Retained condition</t>
  </si>
  <si>
    <t>1 − age^exponent × cycling × installation × environment × pressure-demand term, bounded at 0.</t>
  </si>
  <si>
    <t>Heuristic deterioration curve</t>
  </si>
  <si>
    <t>Calc Engine I11/I12</t>
  </si>
  <si>
    <t>Not a universal empirical law.</t>
  </si>
  <si>
    <t>Structural retention</t>
  </si>
  <si>
    <t>Good 1.00; Moderate 0.92; Poor 0.80; Very poor 0.65.</t>
  </si>
  <si>
    <t>Planning modifier</t>
  </si>
  <si>
    <t>Calc Engine I18</t>
  </si>
  <si>
    <t>Field condition can reduce remaining life.</t>
  </si>
  <si>
    <t>Failure history</t>
  </si>
  <si>
    <t>Same effective failure-history retention as metallic route.</t>
  </si>
  <si>
    <t>Observed-history modifier</t>
  </si>
  <si>
    <t>Calc Engine I19</t>
  </si>
  <si>
    <t>Allows actual performance to affect planning.</t>
  </si>
  <si>
    <t>Remaining life</t>
  </si>
  <si>
    <t>Nominal chronological life remaining × retained condition × structural retention × failure-history retention. Non-metallic published current/what-if results use Calc Engine I13/I14. At or beyond the nominal screening horizon the age-only screen returns 0 years; this means the screening route cannot justify positive remaining-life credit without material-specific condition evidence, not that immediate physical failure is predicted.</t>
  </si>
  <si>
    <t>Screening equation</t>
  </si>
  <si>
    <t>Calc Engine I13/I14</t>
  </si>
  <si>
    <t>Cannot exceed nominal chronological remaining life.</t>
  </si>
  <si>
    <t>Use material-specific inspection/manufacturer/utility methods for high-value or high-consequence decisions, and whenever the nominal screening horizon has been reached. The non-metallic route is screening-level and should be locally calibrated where sufficient evidence exists.</t>
  </si>
  <si>
    <t>Limitation</t>
  </si>
  <si>
    <t>Non-metallic route is screening-level.</t>
  </si>
  <si>
    <t>ASSUMPTION REGISTER — WHAT IS MEASURED VS ASSUMED</t>
  </si>
  <si>
    <t>75-year metallic base life</t>
  </si>
  <si>
    <t>Chosen average for iron/ductile/steel.</t>
  </si>
  <si>
    <t>Editable</t>
  </si>
  <si>
    <t>Calibrate by utility vintage/material cohorts.</t>
  </si>
  <si>
    <t>Base corrosion rates</t>
  </si>
  <si>
    <t>Model screening assumption</t>
  </si>
  <si>
    <t>0.02–0.05 mm/year by metallic material.</t>
  </si>
  <si>
    <t>Material Assumptions F2:F7</t>
  </si>
  <si>
    <t>Replace with local UT/coupon/soil-derived rates.</t>
  </si>
  <si>
    <t>Pitting allowance</t>
  </si>
  <si>
    <t>Material-specific percentage deduction.</t>
  </si>
  <si>
    <t>Material Assumptions I2:I7</t>
  </si>
  <si>
    <t>Local pitting measurements preferred.</t>
  </si>
  <si>
    <t>Allowable stress</t>
  </si>
  <si>
    <t>Material screening parameter</t>
  </si>
  <si>
    <t>Used only in thin-wall pressure check.</t>
  </si>
  <si>
    <t>Material Assumptions C2:C7</t>
  </si>
  <si>
    <t>Not a substitute for applicable design standard.</t>
  </si>
  <si>
    <t>Soil factors</t>
  </si>
  <si>
    <t>Qualitative soil category to deterioration/retention.</t>
  </si>
  <si>
    <t>Assumptions F13:F17</t>
  </si>
  <si>
    <t>Use measured soil chemistry/resistivity where available.</t>
  </si>
  <si>
    <t>1.00 / 0.92 / 0.80 / 0.65.</t>
  </si>
  <si>
    <t>Assumptions F21:F24</t>
  </si>
  <si>
    <t>Calibrate against inspection grades.</t>
  </si>
  <si>
    <t>Known deterioration factors 0.85 / 1.00 / 1.15 / 1.35; Unknown Average 1.0875; Unknown Worst Case 1.35.</t>
  </si>
  <si>
    <t>Assumptions F13:F18</t>
  </si>
  <si>
    <t>Cycling factors</t>
  </si>
  <si>
    <t>Qualitative frequency categories.</t>
  </si>
  <si>
    <t>Assumptions F47:G52</t>
  </si>
  <si>
    <t>Use transient logging where available.</t>
  </si>
  <si>
    <t>1.00 / 0.97 / 0.90 / Severe graduated 0.75 to 0.60 according to failure rate.</t>
  </si>
  <si>
    <t>Assumptions K4:K7</t>
  </si>
  <si>
    <t>Failure-rate class is more objective than manual selection.</t>
  </si>
  <si>
    <t>Failure thresholds</t>
  </si>
  <si>
    <t>Literature-informed screening assumption</t>
  </si>
  <si>
    <t>0 / 12.5 / 20 bursts/100 km/year screening bands.</t>
  </si>
  <si>
    <t>Assumptions K12:K15</t>
  </si>
  <si>
    <t>Local utility thresholds should ultimately govern.</t>
  </si>
  <si>
    <t>Pressure sensitivity</t>
  </si>
  <si>
    <t>Base 0.12 plus condition/joint/soil/cycling/history weights.</t>
  </si>
  <si>
    <t>Assumptions F36:F40 + Calc L31</t>
  </si>
  <si>
    <t>Scenario comparison, not failure probability.</t>
  </si>
  <si>
    <t>Risk exponent</t>
  </si>
  <si>
    <t>Visualization assumption</t>
  </si>
  <si>
    <t>2.0.</t>
  </si>
  <si>
    <t>Assumptions F41</t>
  </si>
  <si>
    <t>Does not affect RAG or life.</t>
  </si>
  <si>
    <t>RAG limits</t>
  </si>
  <si>
    <t>Green &gt;10; Amber &gt;5–10; Red &lt;=5 years.</t>
  </si>
  <si>
    <t>Assumptions B7:B8</t>
  </si>
  <si>
    <t>Triggers assessment actions.</t>
  </si>
  <si>
    <t>Non-metallic lives/exponents</t>
  </si>
  <si>
    <t>Model planning/screening assumptions</t>
  </si>
  <si>
    <t>Material-specific defaults.</t>
  </si>
  <si>
    <t>Editable / formula</t>
  </si>
  <si>
    <t>Assumptions B23:B28 / Calc I10</t>
  </si>
  <si>
    <t>Calibrate with utility/manufacturer evidence.</t>
  </si>
  <si>
    <t>Velocity/wall table</t>
  </si>
  <si>
    <t>Reference wall and healthy velocity from supplied tables.</t>
  </si>
  <si>
    <t>Velocity Reference</t>
  </si>
  <si>
    <t>Units normalised to mm and m/ms.</t>
  </si>
  <si>
    <t>Direct wall</t>
  </si>
  <si>
    <t>Controls estimated wall only when Direct Wall Thickness / NDT is the selected assessment method.</t>
  </si>
  <si>
    <t>User input</t>
  </si>
  <si>
    <t>Dashboard B12</t>
  </si>
  <si>
    <t>Representative sampling still required.</t>
  </si>
  <si>
    <t>Pressure/surge</t>
  </si>
  <si>
    <t>Measured/estimated operating evidence</t>
  </si>
  <si>
    <t>Steady pressure + surge drives calculations.</t>
  </si>
  <si>
    <t>Dashboard B13/B14/B17</t>
  </si>
  <si>
    <t>High-frequency transient data preferred.</t>
  </si>
  <si>
    <t>Burst records</t>
  </si>
  <si>
    <t>Observed operational evidence</t>
  </si>
  <si>
    <t>Count, surveyed length and history period calculate the normalized failure rate.</t>
  </si>
  <si>
    <t>Dashboard B22:B24</t>
  </si>
  <si>
    <t>Records must refer to same pipe section.</t>
  </si>
  <si>
    <t>Consequence</t>
  </si>
  <si>
    <t>Planning judgement</t>
  </si>
  <si>
    <t>Affects priority only.</t>
  </si>
  <si>
    <t>Dashboard B16</t>
  </si>
  <si>
    <t>Does not reduce life.</t>
  </si>
  <si>
    <t>REFERENCE / SOURCE REGISTER</t>
  </si>
  <si>
    <t>US EPA — Primer on Condition Curves for Water Mains</t>
  </si>
  <si>
    <t>Vintage/class affect wall thickness; break-frequency curves; multiple failure causes; cites 0.1–0.2 breaks/mile/year benchmark.</t>
  </si>
  <si>
    <t>External literature</t>
  </si>
  <si>
    <t>https://nepis.epa.gov/Exe/ZyPURL.cgi?Dockey=P100H8W0.TXT</t>
  </si>
  <si>
    <t>Failure-history context and vintage/thickness explanation</t>
  </si>
  <si>
    <t>Numeric workbook factors remain screening assumptions.</t>
  </si>
  <si>
    <t>AWWA — Asset Management Policy</t>
  </si>
  <si>
    <t>Supports life-cycle management, condition/risk consideration and rehabilitation/replacement decisions.</t>
  </si>
  <si>
    <t>External guidance</t>
  </si>
  <si>
    <t>https://www.awwa.org/policy-statement/asset-management/</t>
  </si>
  <si>
    <t>Governance philosophy</t>
  </si>
  <si>
    <t>Does not prescribe workbook factors.</t>
  </si>
  <si>
    <t>AWWA — Asset Management Resources</t>
  </si>
  <si>
    <t>Useful-life estimates support renewal planning and can be enhanced by condition assessment.</t>
  </si>
  <si>
    <t>https://www.awwa.org/resource/asset-management/</t>
  </si>
  <si>
    <t>Useful-life philosophy</t>
  </si>
  <si>
    <t>Not a pipe-life standard.</t>
  </si>
  <si>
    <t>Journal AWWA — Useful Lives (Mercer, 2019)</t>
  </si>
  <si>
    <t>Useful life varies with construction, installation, soil, operation, inspection and maintenance.</t>
  </si>
  <si>
    <t>External commentary</t>
  </si>
  <si>
    <t>https://awwa.onlinelibrary.wiley.com/doi/full/10.1002/awwa.1317</t>
  </si>
  <si>
    <t>Supports multi-factor useful-life approach</t>
  </si>
  <si>
    <t>No universal pipe-life number.</t>
  </si>
  <si>
    <t>AWWA — Industry Insights</t>
  </si>
  <si>
    <t>Old thick-wall cast iron may exceed 100 years; later ductile iron can have shorter useful life; vintage matters.</t>
  </si>
  <si>
    <t>External industry guidance</t>
  </si>
  <si>
    <t>https://www.awwa.org/industry-insights/</t>
  </si>
  <si>
    <t>Supports vintage/thickness caution</t>
  </si>
  <si>
    <t>75-year baseline remains a project assumption.</t>
  </si>
  <si>
    <t>AWWA — Water Main Rehabilitation</t>
  </si>
  <si>
    <t>Historic design lives and need for reinvestment/rehabilitation.</t>
  </si>
  <si>
    <t>https://www.awwa.org/resource/water-main-rehabilitation/</t>
  </si>
  <si>
    <t>Planning context</t>
  </si>
  <si>
    <t>Not direct numeric calibration.</t>
  </si>
  <si>
    <t>Supplied velocity / wall tables</t>
  </si>
  <si>
    <t>Material, class, diameter, wall and healthy acoustic velocity supplied with model.</t>
  </si>
  <si>
    <t>User-provided source data</t>
  </si>
  <si>
    <t>Workbook source tabs</t>
  </si>
  <si>
    <t>Primary wall/velocity lookup source</t>
  </si>
  <si>
    <t>Unit rules documented in Assumptions &amp; Method.</t>
  </si>
  <si>
    <t>Water Research Foundation — Long-Term Performance Prediction for PVC Pipes</t>
  </si>
  <si>
    <t>Research on accelerated life testing, field performance and life-expectancy methodologies for buried PVC water pipe.</t>
  </si>
  <si>
    <t>External research</t>
  </si>
  <si>
    <t>https://www.waterrf.org/research/projects/long-term-performance-prediction-pvc-pipes</t>
  </si>
  <si>
    <t>PVC long-term-performance / life-prediction methodology</t>
  </si>
  <si>
    <t>Supports mechanism and evidence-led governance; does not prescribe the workbook's 80-year screening horizon.</t>
  </si>
  <si>
    <t>Water Research Foundation — Long-Term Performance Prediction of PE Pipe</t>
  </si>
  <si>
    <t>Research on accelerated life testing, field performance and life-expectancy methodologies for buried PE pipe.</t>
  </si>
  <si>
    <t>https://www.waterrf.org/research/projects/long-term-performance-prediction-pe-pipe</t>
  </si>
  <si>
    <t>PE/HDPE long-term-performance methodology</t>
  </si>
  <si>
    <t>Supports mechanism and calibration philosophy; does not prescribe workbook factors.</t>
  </si>
  <si>
    <t>Water Research Foundation — Long Term Performance of Asbestos Cement Pipe</t>
  </si>
  <si>
    <t>Research on AC deterioration, condition assessment, expected remaining life and management strategies.</t>
  </si>
  <si>
    <t>https://www.waterrf.org/research/projects/long-term-performance-asbestos-cement-pipe</t>
  </si>
  <si>
    <t>AC deterioration / remaining-life governance</t>
  </si>
  <si>
    <t>Supports material-specific assessment; workbook factors remain screening assumptions.</t>
  </si>
  <si>
    <t>US EPA — Condition Assessment Technologies for Water Transmission and Distribution Systems</t>
  </si>
  <si>
    <t>Reviews condition-assessment methods and technology gaps across metallic, asbestos-cement, plastic and other water-main materials.</t>
  </si>
  <si>
    <t>https://nepis.epa.gov/Exe/ZyPURL.cgi?Dockey=P100E3Y5.TXT</t>
  </si>
  <si>
    <t>Material-specific inspection limitations and evidence hierarchy</t>
  </si>
  <si>
    <t>Supports conservative screening where direct material-specific evidence is unavailable.</t>
  </si>
  <si>
    <t>AWWA — Standards List / Material-Specific Pipe Standards</t>
  </si>
  <si>
    <t>AWWA maintains separate standards/design frameworks for fiberglass pressure pipe and concrete/PCCP systems, reinforcing that non-metallic structural assessment is material-specific.</t>
  </si>
  <si>
    <t>External standards context</t>
  </si>
  <si>
    <t>https://www.awwa.org/standards/standards-list/</t>
  </si>
  <si>
    <t>GRP / Concrete / PCCP material-specific governance</t>
  </si>
  <si>
    <t>Standards context only; the workbook's screening lives and heuristic factors are not claimed as AWWA values.</t>
  </si>
  <si>
    <t>PVC Pipe Association / Utah State longevity research</t>
  </si>
  <si>
    <t>Published field/dig-up and laboratory evidence reports PVC pressure-pipe service life can exceed 100 years under suitable design, installation and operating conditions.</t>
  </si>
  <si>
    <t>External industry/research context</t>
  </si>
  <si>
    <t>https://www.uni-bell.org/portals/0/ResourceFile/pvc-pipe-longevity-report.pdf</t>
  </si>
  <si>
    <t>Reason the workbook labels 80 years as a conservative screening horizon rather than physical expiry</t>
  </si>
  <si>
    <t>Use as context, not as a universal life guarantee.</t>
  </si>
  <si>
    <t>Plastics Pipe Institute — Municipal HDPE design-life context</t>
  </si>
  <si>
    <t>PPI reports properly designed, installed and operated PE4710 municipal water systems have design life exceeding 100 years, subject to pressure, fatigue, oxidation and installation conditions.</t>
  </si>
  <si>
    <t>https://www.plasticpipe.org/common/Uploaded%20files/1-PPI/Divisions/Municipal%20and%20Industrial/Division%20Publications/Potable%20Water/100%20Year%20Design%20Life.pdf</t>
  </si>
  <si>
    <t>HDPE long-life context</t>
  </si>
  <si>
    <t>Use as context; local pipe grade, installation, temperature and operating history remain important.</t>
  </si>
  <si>
    <t>Example</t>
  </si>
  <si>
    <t>Example: 1 burst on 0.1 km of main over 5 years = 1 × 100 ÷ (0.1 × 5) = 200 bursts/100 km/year.</t>
  </si>
  <si>
    <t>The high normalized value is mathematically correct because the assessed length is only 0.1 km.</t>
  </si>
  <si>
    <t>Worked example</t>
  </si>
  <si>
    <t>Short pipe lengths can produce high normalized rates from very few events.</t>
  </si>
  <si>
    <t>Example: 1 burst on 1 km of main over 5 years = 20 bursts/100 km/year.</t>
  </si>
  <si>
    <t>Longer assessed lengths reduce the normalized rate for the same event count.</t>
  </si>
  <si>
    <t>Compare like-for-like lengths and history periods.</t>
  </si>
  <si>
    <t>Caution</t>
  </si>
  <si>
    <t>Auto from failure rate remains the model default. Use an engineer override only where the calculated class is demonstrably unrepresentative. If Auto derives Severe, the retention and remaining-life result are identical to manually selecting Severe for the same pipe and calculated failure-rate data.</t>
  </si>
  <si>
    <t>Use the automatic class as screening evidence and apply engineer override where the normalized rate is not representative.</t>
  </si>
  <si>
    <t>Do not treat one isolated event on a short street as a statistically robust population failure rate.</t>
  </si>
  <si>
    <t>Front page</t>
  </si>
  <si>
    <t>The Dashboard shows the effective failure-history class and whether it is Auto or Engineer Override. Where an override disagrees with the calculated class, a prominent warning is shown in the PIPE CONDITION / LIFE headline.</t>
  </si>
  <si>
    <t>Keeps the front page simple.</t>
  </si>
  <si>
    <t>User interface</t>
  </si>
  <si>
    <t>No extra formula-output row is shown below the failure rate.</t>
  </si>
  <si>
    <t>EXPLICIT CONDITION EVIDENCE ROUTES</t>
  </si>
  <si>
    <t>Selected route 1</t>
  </si>
  <si>
    <t>Controls condition and life only when this method is explicitly selected and a usable positive wall measurement/reference calibration is available.</t>
  </si>
  <si>
    <t>Calc Engine B18 / L35-L36</t>
  </si>
  <si>
    <t>Inactive wall values are retained for audit but do not affect life.</t>
  </si>
  <si>
    <t>Selected route 2</t>
  </si>
  <si>
    <t>Measured Acoustic Velocity</t>
  </si>
  <si>
    <t>Controls condition and life only when this method is explicitly selected and the velocity is physically valid with a usable metallic calibration.</t>
  </si>
  <si>
    <t>Measured/derived evidence</t>
  </si>
  <si>
    <t>Invalid or uncalibrated selected velocity blocks the assessment; it does not silently fall back.</t>
  </si>
  <si>
    <t>Selected route 3</t>
  </si>
  <si>
    <t>Engineering Best-Practice Assessment</t>
  </si>
  <si>
    <t>Uses Auto structural condition by default; Good / Moderate / Poor / Very poor is an explicit engineer override under this route only.</t>
  </si>
  <si>
    <t>Calc Engine L34/L36</t>
  </si>
  <si>
    <t>Inactive direct-wall and acoustic entries are ignored by the life calculation.</t>
  </si>
  <si>
    <t>Validation</t>
  </si>
  <si>
    <t>For METALLIC Engineering Best-Practice Assessment, Auto structural condition is derived continuously from the model's existing age-strength, estimated-wall-strength and soil-retention diagnostics, then constrained to the same manual scale. Good / Moderate / Poor / Very poor use retentions 1.00 / 0.92 / 0.80 / 0.65, and metallic Auto cannot fall below 0.65. For NON-METALLIC Engineering Best-Practice, age/pressure/environment/cycling are already embedded in the dedicated retained-condition equation; Auto therefore applies no second structural penalty, while the manual condition choices remain explicit engineer overrides. Failure history and joints remain separate.</t>
  </si>
  <si>
    <t>Input validity</t>
  </si>
  <si>
    <t>If Measured Acoustic Velocity is selected and invalid, the assessment is NOT ASSESSED until the evidence is corrected or another method is selected.</t>
  </si>
  <si>
    <t>Direction</t>
  </si>
  <si>
    <t>Acoustic structural-reserve calculations are gated. If no valid acoustic equivalent wall/reference is available, the reserve and velocity condition factor remain blank rather than returning an Excel error. The acoustic route is used only when the measurement is valid and selected.</t>
  </si>
  <si>
    <t>Engineering interpretation</t>
  </si>
  <si>
    <t>Velocity route</t>
  </si>
  <si>
    <t>The exact relationship depends on the supplied reference table and pipe material.</t>
  </si>
  <si>
    <t>Diameter and class must be selected from the current material-dependent drop-downs. Metallic lists remain tied to the embedded reference tables. Non-metallic lists are now material-specific rather than one generic 25–2000 mm list: PVC/uPVC 100–1500 mm; HDPE/MDPE 25–1650 mm; GRP/Fiberglass 25–2000 mm (a conservative subset of the wider C950 scope); legacy asbestos-cement 100–900 mm; Concrete 250–2000 mm; PCCP 410–2000 mm. These are model selectable scopes, not a statement that every manufacturer produced every listed size. An asset outside the selectable scope requires custom engineering rather than selection of the nearest diameter.</t>
  </si>
  <si>
    <t>Use direct condition measurement where investment consequence is high.</t>
  </si>
  <si>
    <t>Version change</t>
  </si>
  <si>
    <t>Installation year is validated against the survey date. Whole years from 1800 through the survey year are accepted so genuinely old cast-iron and other legacy mains can still be assessed. A future installation year is treated as invalid input and suppresses the condition/life and asset-planning conclusions until corrected.</t>
  </si>
  <si>
    <t>Version control</t>
  </si>
  <si>
    <t>This was the cause of the previous apparent non-response to measured velocity.</t>
  </si>
  <si>
    <t>Wall-thickness display governance: the pressure-required wall values are pressure-only diagnostics and can be calculated without a nominal reference wall. Estimated remaining wall is different: it is shown only where direct wall/NDT, valid acoustic evidence, or a valid reference wall exists. Internal numerical floors used to keep calculations stable are not presented to the user as evidence.</t>
  </si>
  <si>
    <t>ACOUSTIC VELOCITY — ENGINEERING INTERPRETATION</t>
  </si>
  <si>
    <t>Base planning life is taken from the material-specific assumptions table. The generic metallic fallback is 75 years, matching the documented Unknown metallic baseline. The fallback is a safeguard only and does not replace the individual material values (for example Copper 70 years and Galvanized iron 50 years).</t>
  </si>
  <si>
    <t>Principle</t>
  </si>
  <si>
    <t>Selected-method validity: Engineering Best-Practice Assessment is available for every listed material, including all non-metallic/structural materials. Direct Wall/NDT is a metallic-only route. Measured Acoustic Velocity is released only for Ductile iron, Grey cast iron and Carbon steel. Selecting an unsupported measured method returns INPUT CHECK REQUIRED / NOT ASSESSED; the workbook does not silently substitute another evidence route.</t>
  </si>
  <si>
    <t>Engineering basis</t>
  </si>
  <si>
    <t>EPA / acoustic pipe-wave theory</t>
  </si>
  <si>
    <t>Therefore lower measured velocity generally indicates more wall loss, not higher velocity.</t>
  </si>
  <si>
    <t>Healthy reference</t>
  </si>
  <si>
    <t>Inactive measurement isolation: values left in Direct Wall or Acoustic Velocity boxes are retained for audit but must not change another selected method's life result.</t>
  </si>
  <si>
    <t>Reference data</t>
  </si>
  <si>
    <t>Comparison basis</t>
  </si>
  <si>
    <t>Measured velocity is assessed against this healthy reference.</t>
  </si>
  <si>
    <t>Measured velocity &gt;= healthy reference</t>
  </si>
  <si>
    <t>A measured velocity above the healthy reference can yield a raw acoustic equivalent wall above the reference. The structural reserve factor is capped at 1; higher velocity cannot create unlimited additional life. Verify pipe identity and measurement conditions.</t>
  </si>
  <si>
    <t>Conservative cap</t>
  </si>
  <si>
    <t>No extra life is created merely because measured velocity exceeds the table reference.</t>
  </si>
  <si>
    <t>Measured velocity &lt; healthy reference</t>
  </si>
  <si>
    <t>The model back-calculates a lower average wall thickness using the wave-speed relationship.</t>
  </si>
  <si>
    <t>Condition estimate</t>
  </si>
  <si>
    <t>The farther below the healthy reference, the greater the inferred wall loss.</t>
  </si>
  <si>
    <t>Small differences</t>
  </si>
  <si>
    <t>A reading only slightly below the reference should produce only a small change in inferred condition.</t>
  </si>
  <si>
    <t>Sensitivity</t>
  </si>
  <si>
    <t>This is why 1.25 m/ms may change the result only modestly when the healthy reference is about 1.2695 m/ms.</t>
  </si>
  <si>
    <t>Above-reference readings</t>
  </si>
  <si>
    <t>Values such as 1.28 or 1.30 m/ms may both be treated as healthy/reference condition if both exceed the reference velocity.</t>
  </si>
  <si>
    <t>Screening behaviour</t>
  </si>
  <si>
    <t>Calc Engine B18/L35</t>
  </si>
  <si>
    <t>Differences above the healthy reference are not used to claim thicker-than-nominal wall or longer-than-nominal life.</t>
  </si>
  <si>
    <t>Acoustic velocity is an effective propagation parameter for the fluid-dominated/Korteweg leak-noise mode. It depends on material, diameter/wall stiffness and field conditions such as restraint, lining, joints and entrained air. It is not a universal material constant.</t>
  </si>
  <si>
    <t>Engineering limitation</t>
  </si>
  <si>
    <t>Direct UT/NDT wall measurement remains the preferred confirmation for critical decisions.</t>
  </si>
  <si>
    <t>MEASURED VELOCITY — FINAL RELEASE INTERPRETATION</t>
  </si>
  <si>
    <t>Step 1</t>
  </si>
  <si>
    <t>Select the correct released acoustic material, class and diameter. Final public acoustic remaining-life scope is Ductile iron, Grey cast iron and Carbon steel only.</t>
  </si>
  <si>
    <t>Released scope</t>
  </si>
  <si>
    <t>Dashboard / Calc Engine</t>
  </si>
  <si>
    <t>Copper remains available under Engineering Best-Practice and Direct Wall/NDT.</t>
  </si>
  <si>
    <t>Physical validity</t>
  </si>
  <si>
    <t>The model first checks that the measured velocity is positive, has a released calibration, is below the water-only acoustic ceiling and is not implausibly low relative to the selected reference.</t>
  </si>
  <si>
    <t>Input-quality gate</t>
  </si>
  <si>
    <t>Calc B125</t>
  </si>
  <si>
    <t>The lower plausibility screen is an input-quality guard, not a failure threshold.</t>
  </si>
  <si>
    <t>GREEN — within healthy reference</t>
  </si>
  <si>
    <t>Measured velocity lies within the selected material/diameter healthy reference envelope.</t>
  </si>
  <si>
    <t>Condition interpretation</t>
  </si>
  <si>
    <t>Calc B53:B58</t>
  </si>
  <si>
    <t>Use the calibrated acoustic equivalent wall in the remaining-life assessment.</t>
  </si>
  <si>
    <t>Above-reference readings do not create extra wall or life.</t>
  </si>
  <si>
    <t>AMBER — below healthy reference</t>
  </si>
  <si>
    <t>A physically valid velocity below the healthy envelope is accepted as reduced-stiffness condition evidence. It is converted to a lower acoustic equivalent wall and therefore reduces structural reserve and remaining life.</t>
  </si>
  <si>
    <t>Calc B58/B71/B123</t>
  </si>
  <si>
    <t>Do not reject a valid lower velocity merely because it is below the nominal healthy band.</t>
  </si>
  <si>
    <t>Confirm with representative NDT where the consequence or investment decision is material.</t>
  </si>
  <si>
    <t>RED — critical acoustic condition</t>
  </si>
  <si>
    <t>RED is reached when the calculated acoustic equivalent wall is at or below the model planning-critical wall.</t>
  </si>
  <si>
    <t>Planning condition</t>
  </si>
  <si>
    <t>Calc B58/B126</t>
  </si>
  <si>
    <t>This is a planning intervention signal, not proof of an instantaneous physical failure date.</t>
  </si>
  <si>
    <t>Direct wall/NDT confirmation is strongly recommended.</t>
  </si>
  <si>
    <t>CHECK — above healthy reference</t>
  </si>
  <si>
    <t>Velocity above the healthy envelope prompts verification. Acoustic reserve is capped at 1. Its life horizon is the larger of chronological remaining life and the 25-year review horizon; no extra credit is created merely by exceeding healthy velocity.</t>
  </si>
  <si>
    <t>Measurement/context check</t>
  </si>
  <si>
    <t>Calc B58/B71</t>
  </si>
  <si>
    <t>A higher value does not prove thicker-than-nominal wall.</t>
  </si>
  <si>
    <t>Unknown class</t>
  </si>
  <si>
    <t>Unknown class uses the material/diameter central healthy calibration. A valid measured velocity may still control acoustic equivalent wall and life; the model does not pretend the original pressure/class designation is known.</t>
  </si>
  <si>
    <t>Calc B72:B76 / B123</t>
  </si>
  <si>
    <t>This preserves useful stiffness evidence without claiming false class precision.</t>
  </si>
  <si>
    <t>Exact class known</t>
  </si>
  <si>
    <t>The selected exact-class healthy wall/velocity pair is used as the calibration point. Reference velocity returns reference wall by construction; lower valid velocity returns a lower equivalent wall monotonically.</t>
  </si>
  <si>
    <t>Calc B121:B123</t>
  </si>
  <si>
    <t>The result is a section-average acoustic equivalent wall, not a local minimum UT reading.</t>
  </si>
  <si>
    <t>100 mm Grey cast iron example</t>
  </si>
  <si>
    <t>Healthy reference envelope is approximately 1.250–1.291 m/ms. A measured 1.20 m/ms is physically plausible, below the healthy range and is used as reduced-stiffness evidence. Under Unknown Average calibration it gives an acoustic equivalent wall of about 6.1 mm.</t>
  </si>
  <si>
    <t>Confirmed example</t>
  </si>
  <si>
    <t>Final release QA v17.70</t>
  </si>
  <si>
    <t>This is not rejected as a pipe-identity error.</t>
  </si>
  <si>
    <t>Use NDT for critical rehabilitation decisions.</t>
  </si>
  <si>
    <t>Closest references</t>
  </si>
  <si>
    <t>Closest same-material and overall references are diagnostic aids only. They help investigate possible asset-record or measurement issues; they do not reclassify the pipe automatically.</t>
  </si>
  <si>
    <t>Diagnostic</t>
  </si>
  <si>
    <t>Calc B59:B70</t>
  </si>
  <si>
    <t>Material/diameter/class records should be checked where the result is unexpected.</t>
  </si>
  <si>
    <t>Why velocity can vary</t>
  </si>
  <si>
    <t>Wave speed depends on effective pipe stiffness as well as water properties. Diameter, wall thickness, elastic modulus, restraint, lining, joints, temperature, soil coupling and entrained air can all affect the field result.</t>
  </si>
  <si>
    <t>Local calibration is preferred where reliable field data exist.</t>
  </si>
  <si>
    <t>Evidence hierarchy</t>
  </si>
  <si>
    <t>Direct Wall/NDT is preferred measured evidence where representative measurements exist. Measured Acoustic Velocity is a separate calibrated route. Engineering Best-Practice is the screening route when direct condition evidence is not selected/available.</t>
  </si>
  <si>
    <t>Calc L35:L36</t>
  </si>
  <si>
    <t>The workbook does not silently switch routes.</t>
  </si>
  <si>
    <t>Direct confirmation</t>
  </si>
  <si>
    <t>For major rehabilitation, renewal, high-consequence assets or unusual acoustic results, confirm the acoustic screening result using representative UT/NDT or another material-appropriate condition-assessment method.</t>
  </si>
  <si>
    <t>Acoustic velocity is a section-average stiffness indicator and may not reveal local pitting/graphitisation.</t>
  </si>
  <si>
    <t>Copper</t>
  </si>
  <si>
    <t>Copper is intentionally excluded from the final Measured Acoustic Velocity remaining-life route. Published correlator velocities are useful for leak location, but the final methodology does not claim a broadly validated copper velocity-to-wall/life conversion.</t>
  </si>
  <si>
    <t>Release governance</t>
  </si>
  <si>
    <t>Copper remains fully assessable by Engineering Best-Practice and Direct Wall/NDT.</t>
  </si>
  <si>
    <t>Grey cast iron 350 mm</t>
  </si>
  <si>
    <t>A duplicated 450-mm entry in the embedded source sequence was traced to the BS 4622 source and corrected to 350 mm. The released Grey CI acoustic list now includes 350 mm and the 450-mm calibration uses only true 450-mm rows.</t>
  </si>
  <si>
    <t>Source correction</t>
  </si>
  <si>
    <t>Velocity Reference / Source Velocity Tables</t>
  </si>
  <si>
    <t>Correction is recorded on Velocity QA and Audit &amp; Validation.</t>
  </si>
  <si>
    <t>Velocity QA sheet</t>
  </si>
  <si>
    <t>The final workbook contains a dedicated Velocity QA sheet. All 61 released Ductile iron, Grey cast iron and Carbon steel central material/diameter references were benchmarked against independent Fuji TECOM LC-2500 / ADS Eureka2R correlator tables and fall within the stated ±10% reasonableness band.</t>
  </si>
  <si>
    <t>Final QA</t>
  </si>
  <si>
    <t>Velocity QA</t>
  </si>
  <si>
    <t>Benchmarking supports reasonableness of the reference tables; it does not make field wave speed a universal constant.</t>
  </si>
  <si>
    <t>Graph interpretation</t>
  </si>
  <si>
    <t>Sensitivity graphs are planning-response illustrations. Intermediate points are used where helpful so a nonlinear response is visible without implying an instantaneous real-world failure cliff. The underlying engineering formula and thresholds are not softened merely to improve appearance.</t>
  </si>
  <si>
    <t>Graph governance</t>
  </si>
  <si>
    <t>Failure Curve / technical paper Figure 3</t>
  </si>
  <si>
    <t>Read remaining life as a planning range/indicator, not a predicted failure date.</t>
  </si>
  <si>
    <t>Final release principle</t>
  </si>
  <si>
    <t>Age describes history; measured evidence should determine the future decision where sufficiently reliable evidence exists.</t>
  </si>
  <si>
    <t>Methodology</t>
  </si>
  <si>
    <t>Use engineering judgement and local evidence proportional to consequence.</t>
  </si>
  <si>
    <t>Engineering intent</t>
  </si>
  <si>
    <t>Credible measured field evidence should carry more weight than theory.</t>
  </si>
  <si>
    <t>This is the purpose of the measured-velocity input.</t>
  </si>
  <si>
    <t>Acoustic velocity is an average stiffness/condition indicator, not a local pitting measurement.</t>
  </si>
  <si>
    <t>Condition limitation</t>
  </si>
  <si>
    <t>Use direct wall/NDT for critical decisions.</t>
  </si>
  <si>
    <t>CONDITION EVIDENCE HIERARCHY &amp; CAVEATS</t>
  </si>
  <si>
    <t>1. Direct wall thickness</t>
  </si>
  <si>
    <t>Selected local measured route.</t>
  </si>
  <si>
    <t>Measured local evidence</t>
  </si>
  <si>
    <t>Calc B82:B85</t>
  </si>
  <si>
    <t>Unless multiple representative readings are taken, it applies only to the measured point, not automatically to the entire pipe length.</t>
  </si>
  <si>
    <t>Direct wall caveat</t>
  </si>
  <si>
    <t>Point-specific condition</t>
  </si>
  <si>
    <t>One UT/NDT value can miss local pitting elsewhere or better/worse condition along the main.</t>
  </si>
  <si>
    <t>Spatial limitation</t>
  </si>
  <si>
    <t>Dashboard D19:H23</t>
  </si>
  <si>
    <t>Use multiple representative readings for major investment decisions where feasible.</t>
  </si>
  <si>
    <t>2. Measured correlator velocity</t>
  </si>
  <si>
    <t>Selected measured/derived section route.</t>
  </si>
  <si>
    <t>Measured/derived section evidence</t>
  </si>
  <si>
    <t>Calc B72:B85</t>
  </si>
  <si>
    <t>Represents average/equivalent stiffness across the correlated pipe length.</t>
  </si>
  <si>
    <t>Velocity caveat</t>
  </si>
  <si>
    <t>Average section condition</t>
  </si>
  <si>
    <t>Local pitting, isolated corrosion, fittings, short mixed-material sections or weak points may not be detected by the average acoustic response.</t>
  </si>
  <si>
    <t>Use direct wall/NDT to confirm critical or high-consequence assets.</t>
  </si>
  <si>
    <t>3. Engineering Best-Practice Assessment</t>
  </si>
  <si>
    <t>Selected calculated engineering route.</t>
  </si>
  <si>
    <t>Calculated engineering assessment</t>
  </si>
  <si>
    <t>Uses age, material, soil/environment, structural condition, joints/installation, pressure, transients and failure history.</t>
  </si>
  <si>
    <t>Engineering assessment caveat</t>
  </si>
  <si>
    <t>Calculated condition, not a physical measurement</t>
  </si>
  <si>
    <t>No direct condition measurement is controlling the result.</t>
  </si>
  <si>
    <t>Confidence limitation</t>
  </si>
  <si>
    <t>Support with field condition assessment before major rehabilitation or investment decisions.</t>
  </si>
  <si>
    <t>Method-selection rule</t>
  </si>
  <si>
    <t>The Dashboard method selector determines the active condition evidence route.</t>
  </si>
  <si>
    <t>Inactive measured inputs are retained for audit but do not override the selected route.</t>
  </si>
  <si>
    <t>Engineering governance</t>
  </si>
  <si>
    <t>The active route is shown on the front page and in Key Findings.</t>
  </si>
  <si>
    <t>Spatial principle</t>
  </si>
  <si>
    <t>Local accuracy and spatial representativeness are different.</t>
  </si>
  <si>
    <t>Direct wall may be more accurate at one point; velocity may be more representative of the correlated section.</t>
  </si>
  <si>
    <t>Upper life bound</t>
  </si>
  <si>
    <t>For pipes at or beyond nominal planning age, Direct Wall/NDT or valid measured acoustic evidence can produce 0–25 years of remaining planning life according to measured evidence and the existing independent engineering factors. For Direct Wall/NDT, life is calculated from the actual governing measured wall to the planning-critical wall using the governing deterioration rate; the wall-reserve ratio is not multiplied into life again and no generic pitting deduction is added. The 25-year value is an engineering-review ceiling, not a prediction of failure age. A single direct wall/NDT reading applies to the measured location only; extension to the assessed pipe section requires sufficient representative measurements, engineering review and periodic reassessment.</t>
  </si>
  <si>
    <t>Conservative control</t>
  </si>
  <si>
    <t>Calc L13/L14</t>
  </si>
  <si>
    <t>Measured evidence can improve or reduce the calculated engineering condition result within that cap.</t>
  </si>
  <si>
    <t>Engineering use</t>
  </si>
  <si>
    <t>This remains a rehabilitation-planning condition assessment model.</t>
  </si>
  <si>
    <t>Critical decisions should use material-appropriate detailed condition assessment.</t>
  </si>
  <si>
    <t>MODEL CHANGE CONTROL — DATA COLLECTION &amp; HOW IT WORKS</t>
  </si>
  <si>
    <t>Documentation rule</t>
  </si>
  <si>
    <t>Whenever an input, assumption, formula, evidence hierarchy, warning threshold or life-calculation method is changed, this User Guide / Data Collection &amp; How It Works section must be updated at the same time.</t>
  </si>
  <si>
    <t>Mandatory governance</t>
  </si>
  <si>
    <t>The model logic and the explanation must always remain aligned.</t>
  </si>
  <si>
    <t>Users must be able to understand what data are required, which evidence takes priority, how remaining life is calculated and what limitations apply.</t>
  </si>
  <si>
    <t>Transparency</t>
  </si>
  <si>
    <t>No hidden engineering assumptions should be introduced without documentation.</t>
  </si>
  <si>
    <t>Evidence route = the method explicitly selected on the Dashboard. Direct Wall/NDT is recommended where representative measurements are available; measured velocity and Engineering Best-Practice are separate selectable routes.</t>
  </si>
  <si>
    <t>Current method</t>
  </si>
  <si>
    <t>Any future change to this hierarchy must be documented here and on the Dashboard.</t>
  </si>
  <si>
    <t>Version number should be advanced whenever engineering logic or user-facing interpretation changes.</t>
  </si>
  <si>
    <t>Auditability</t>
  </si>
  <si>
    <t>Dashboard A1 / User Guide F2</t>
  </si>
  <si>
    <t>This supports traceability of assessments produced from different model versions.</t>
  </si>
  <si>
    <t>DIRECT WALL THICKNESS — LIFE CALCULATION &amp; CAVEAT</t>
  </si>
  <si>
    <t>Priority</t>
  </si>
  <si>
    <t>Direct Wall Thickness / NDT is the preferred measured route where representative wall measurements exist.</t>
  </si>
  <si>
    <t>Calc B7 / L35-L36</t>
  </si>
  <si>
    <t>It controls condition and life only when explicitly selected; merely entering a wall value does not override another selected route.</t>
  </si>
  <si>
    <t>Life response</t>
  </si>
  <si>
    <t>Direct Wall/NDT is the preferred structural evidence route where representative measurements are available. The actual measured wall controls the assessment. Where a reliable original/reference wall is embedded, the model also calculates percentage wall retention and an observed historical wall-loss rate (wall loss divided by age); the higher of that observed rate and the conservative material/soil base rate is used for forward planning. Where no original wall is available, the model does not invent one and reference-percentage diagnostics remain blank.</t>
  </si>
  <si>
    <t>Core formula</t>
  </si>
  <si>
    <t>Calc L35</t>
  </si>
  <si>
    <t>There is no artificial 35% minimum floor for direct wall data.</t>
  </si>
  <si>
    <t>Very thin measured wall must therefore materially reduce remaining life.</t>
  </si>
  <si>
    <t>Thin wall</t>
  </si>
  <si>
    <t>Final metallic threshold review: Grey cast iron remains deliberately conservative at a 3.0 mm absolute planning floor and 55% of reference wall because brittle fracture, graphitisation and local loss can sharply reduce residual strength. Ductile iron remains at 2.5 mm / 45%; Carbon steel at 2.5 mm / 35%; Copper at 0.8 mm / 50%; Galvanized iron at 1.5 mm / 40%. These are planning intervention thresholds, not universal physical failure thicknesses. Pressure-required wall can override them where higher.</t>
  </si>
  <si>
    <t>Condition response</t>
  </si>
  <si>
    <t>Calc L13/L35</t>
  </si>
  <si>
    <t>This corrects the previous behaviour where very thin walls could be artificially held at a 35% retention floor.</t>
  </si>
  <si>
    <t>Healthy wall</t>
  </si>
  <si>
    <t>Pressure-screening stresses reviewed for release: Ductile iron 145 MPa (aligned with the 21,000 psi AWWA/DIPRA design stress); Grey cast iron 70 MPa retained conservatively; Carbon steel 140 MPa retained; Copper reduced to 41 MPa to represent conservative annealed tube where temper/joint is unknown; Galvanized iron reduced to 97.5 MPa (~50% of the 195 MPa minimum yield in the embedded BS 1387/EN 10255 basis).</t>
  </si>
  <si>
    <t>Other factors such as soil, joints, cycling, pressure and failure history still affect total planning life.</t>
  </si>
  <si>
    <t>Thicker than reference</t>
  </si>
  <si>
    <t>Measured wall above the reference cannot create more than 100% displayed structural reserve. Direct Wall life uses the measured reserve-year limit and the applicable evidence horizon; acoustic reserve is capped at 1.</t>
  </si>
  <si>
    <t>Conservative rule</t>
  </si>
  <si>
    <t>Calc L35 / L13</t>
  </si>
  <si>
    <t>Instead, the model advises verification of pipe class, manufacturing vintage, diameter and reference data.</t>
  </si>
  <si>
    <t>Plausibility warning</t>
  </si>
  <si>
    <t>&gt;110% of reference = verify selected pipe reference; &lt;50% of reference = severe wall-loss warning.</t>
  </si>
  <si>
    <t>Screening advice</t>
  </si>
  <si>
    <t>Calc B88:B89</t>
  </si>
  <si>
    <t>These are decision prompts, not automatic failure declarations.</t>
  </si>
  <si>
    <t>Spatial caveat</t>
  </si>
  <si>
    <t>A direct wall measurement is local unless sufficient representative measurements were taken across the assessed length.</t>
  </si>
  <si>
    <t>Dashboard C11 / Calc B83</t>
  </si>
  <si>
    <t>Do not assume one UT/NDT point represents the whole main.</t>
  </si>
  <si>
    <t>Pressure reserve</t>
  </si>
  <si>
    <t>The model also displays planning wall relative to pressure-required wall as supporting structural information.</t>
  </si>
  <si>
    <t>Supporting check</t>
  </si>
  <si>
    <t>Calc B90</t>
  </si>
  <si>
    <t>The life calculation remains governed by the documented evidence hierarchy and planning-life formula.</t>
  </si>
  <si>
    <t>Change control</t>
  </si>
  <si>
    <t>This section was updated with v14.8 because the direct-wall life-response formula changed.</t>
  </si>
  <si>
    <t>Version governance</t>
  </si>
  <si>
    <t>User Guide change-control section</t>
  </si>
  <si>
    <t>Future formula changes must continue to update this documentation at the same time.</t>
  </si>
  <si>
    <t>DIRECT WALL CONDITION FINDINGS — LOCAL FAILURE WARNING</t>
  </si>
  <si>
    <t>Why this was added</t>
  </si>
  <si>
    <t>A very thin direct wall measurement must not appear as an ordinary acceptable result merely because chronological age is unchanged.</t>
  </si>
  <si>
    <t>Engineering purpose</t>
  </si>
  <si>
    <t>Direct evidence of severe local wall loss now creates a prominent condition warning.</t>
  </si>
  <si>
    <t>GREEN direct wall</t>
  </si>
  <si>
    <t>&gt;50% of selected reference wall and above the pressure-required structural wall.</t>
  </si>
  <si>
    <t>Condition band</t>
  </si>
  <si>
    <t>Calc B92:B94</t>
  </si>
  <si>
    <t>No severe local wall-loss trigger from that measurement. The measurement remains local unless representative sampling confirms otherwise.</t>
  </si>
  <si>
    <t>AMBER direct wall</t>
  </si>
  <si>
    <t>&gt;25% to 50% of selected reference wall, provided it is not at/below the pressure-required wall.</t>
  </si>
  <si>
    <t>Advanced local wall loss / approaching engineering end of life. Additional representative wall measurements and detailed condition assessment are advised.</t>
  </si>
  <si>
    <t>RED direct wall</t>
  </si>
  <si>
    <t>&lt;=25% of selected reference wall OR planning wall at/below the calculated pressure-required wall.</t>
  </si>
  <si>
    <t>Calc B92:B96</t>
  </si>
  <si>
    <t>LOCAL FAILURE RISK / ENGINEERING END OF LIFE. The measured point is considered due to fail for planning purposes and requires immediate detailed assessment and intervention planning.</t>
  </si>
  <si>
    <t>Condition-equivalent age</t>
  </si>
  <si>
    <t>Nominal material life × (1 − measured wall/reference wall), bounded by the reference wall.</t>
  </si>
  <si>
    <t>Interpretive indicator</t>
  </si>
  <si>
    <t>Calc B95</t>
  </si>
  <si>
    <t>This is a structural-condition age at the measured point, not the chronological age of the pipe.</t>
  </si>
  <si>
    <t>Chronological age</t>
  </si>
  <si>
    <t>Current year minus installation year.</t>
  </si>
  <si>
    <t>Asset age</t>
  </si>
  <si>
    <t>Existing age calculation</t>
  </si>
  <si>
    <t>Changing wall thickness does not change chronological age.</t>
  </si>
  <si>
    <t>Direct Wall Thickness / NDT controls only when that method is selected. Inactive direct-wall and acoustic values are retained for audit and ignored by the life calculation.</t>
  </si>
  <si>
    <t>Calc B98:B99</t>
  </si>
  <si>
    <t>Velocity warnings do not override a valid direct wall measurement; they remain supporting identity information only.</t>
  </si>
  <si>
    <t>Velocity warning activation</t>
  </si>
  <si>
    <t>Velocity-specific Amber/Red findings only activate when a velocity has actually been entered and direct wall thickness is zero.</t>
  </si>
  <si>
    <t>A zero velocity input does not create a velocity warning.</t>
  </si>
  <si>
    <t>The wall-loss condition, failure warning and condition-equivalent age apply to the measured point unless multiple representative readings demonstrate similar condition along the assessed length.</t>
  </si>
  <si>
    <t>Calc B97</t>
  </si>
  <si>
    <t>One local measurement must not be silently extrapolated to the whole main.</t>
  </si>
  <si>
    <t>v14.9 adds direct-wall condition bands, condition-equivalent age, local failure warning and evidence-priority findings.</t>
  </si>
  <si>
    <t>User Guide</t>
  </si>
  <si>
    <t>This Data Collection &amp; How It Works section was updated with the calculation change.</t>
  </si>
  <si>
    <t>MAIN GREEN / AMBER / RED FINDINGS BOX</t>
  </si>
  <si>
    <t>v15.0 REVIEW CORRECTIONS — DATA COLLECTION &amp; HOW IT WORKS</t>
  </si>
  <si>
    <t>Survey-date age</t>
  </si>
  <si>
    <t>Pipe age is now calculated from installation year to survey date, not the year the workbook happens to be opened.</t>
  </si>
  <si>
    <t>Reproducibility</t>
  </si>
  <si>
    <t>Calc B15 / Dashboard B3</t>
  </si>
  <si>
    <t>Historical assessments therefore remain reproducible.</t>
  </si>
  <si>
    <t>Reference lookup</t>
  </si>
  <si>
    <t>The model now counts matching material/class/diameter references before using wall or velocity data.</t>
  </si>
  <si>
    <t>Data-quality control</t>
  </si>
  <si>
    <t>Calc B100:B103</t>
  </si>
  <si>
    <t>No match = Reference Not Found; multiple matches = Duplicate / Conflict. The model does not add duplicate rows together.</t>
  </si>
  <si>
    <t>450 mm Grey cast iron</t>
  </si>
  <si>
    <t>The source table contains duplicate/conflicting exact-class rows for Classes 1–3.</t>
  </si>
  <si>
    <t>Known source-data issue</t>
  </si>
  <si>
    <t>Exact affected selections now trigger a conflict instead of summing the duplicate values.</t>
  </si>
  <si>
    <t>Resolve the source table before relying on those exact-class references.</t>
  </si>
  <si>
    <t>Transient head</t>
  </si>
  <si>
    <t>Entered as maximum credible transient pressure increase above normal pressure.</t>
  </si>
  <si>
    <t>Pressure loading</t>
  </si>
  <si>
    <t>Dashboard B17 / Calc B25:B26</t>
  </si>
  <si>
    <t>Higher transient head increases peak head and must reduce remaining life.</t>
  </si>
  <si>
    <t>Cycling severity</t>
  </si>
  <si>
    <t>Low/Moderate/High/Severe reduces the transient/cycling retention factor directly.</t>
  </si>
  <si>
    <t>Deterioration loading</t>
  </si>
  <si>
    <t>Calc L22</t>
  </si>
  <si>
    <t>The previous pressure-benefit interaction was corrected so higher cycling severity cannot increase what-if life.</t>
  </si>
  <si>
    <t>Burst KPI</t>
  </si>
  <si>
    <t>Failure rate is now reported as bursts/100 km/year.</t>
  </si>
  <si>
    <t>Standard KPI</t>
  </si>
  <si>
    <t>Dashboard B25 / Calc B45</t>
  </si>
  <si>
    <t>Formula = bursts × 100,000 ÷ (surveyed m × history years).</t>
  </si>
  <si>
    <t>Insufficient failure data</t>
  </si>
  <si>
    <t>Auto classification returns Insufficient data when surveyed length, history period or recorded-burst data are missing.</t>
  </si>
  <si>
    <t>Calc B46:B47 / L30:L31</t>
  </si>
  <si>
    <t>No automatic burst-history penalty is applied without sufficient data.</t>
  </si>
  <si>
    <t>Failure-history thresholds</t>
  </si>
  <si>
    <t>Current screening bands are 12.5 and 20 bursts/100 km/year. Earlier development versions used equivalent per-km wording; the active model no longer does.</t>
  </si>
  <si>
    <t>Assumptions K12:M16</t>
  </si>
  <si>
    <t>Utility-specific calibration remains preferable.</t>
  </si>
  <si>
    <t>Vulnerability index</t>
  </si>
  <si>
    <t>The former Relative Failure Risk Index is renamed Relative Vulnerability Index because consequence is not included.</t>
  </si>
  <si>
    <t>Terminology</t>
  </si>
  <si>
    <t>Calc L28:L29</t>
  </si>
  <si>
    <t>Consequence continues to affect planning priority separately.</t>
  </si>
  <si>
    <t>Pressure-wall reserve</t>
  </si>
  <si>
    <t>The wall-to-pressure calculation is a diagnostic structural reserve-life calculation and is not the headline planning-life prediction.</t>
  </si>
  <si>
    <t>Interpretation</t>
  </si>
  <si>
    <t>Calc B28:B31</t>
  </si>
  <si>
    <t>Use the condition-adjusted planning life for rehabilitation planning; use pressure-wall reserve as supporting evidence.</t>
  </si>
  <si>
    <t>Friend review</t>
  </si>
  <si>
    <t>The external review also identified policy/calibration items still requiring engineering decisions: RED near-end-of-life threshold, unified soil factors, minimum service-pressure check, intermittent-supply treatment, and uncertainty ranges.</t>
  </si>
  <si>
    <t>Open review items</t>
  </si>
  <si>
    <t>These have not been silently changed in v15.0 because they require agreed engineering policy/calibration.</t>
  </si>
  <si>
    <t>This section was updated at the same time as the formulas and KPI changes.</t>
  </si>
  <si>
    <t>The explanation and live model remain aligned.</t>
  </si>
  <si>
    <t>Scope note</t>
  </si>
  <si>
    <t>Velocity should be measured on a fully charged, air-purged main under representative operating conditions.</t>
  </si>
  <si>
    <t>Field measurement guidance</t>
  </si>
  <si>
    <t>Velocity input</t>
  </si>
  <si>
    <t>Poor charging/air or uncertain pipe identity can invalidate acoustic interpretation.</t>
  </si>
  <si>
    <t>v15.1 AGREED ENGINEERING DECISIONS — DATA COLLECTION &amp; HOW IT WORKS</t>
  </si>
  <si>
    <t>Planning purpose</t>
  </si>
  <si>
    <t>Condition-assessment and investment-planning tool; not an exact failure-date prediction.</t>
  </si>
  <si>
    <t>Scope</t>
  </si>
  <si>
    <t>Supports audit trail and rehabilitation/investment planning.</t>
  </si>
  <si>
    <t>RED threshold</t>
  </si>
  <si>
    <t>Lower end of remaining-life range &lt;=5 years.</t>
  </si>
  <si>
    <t>Planning rule</t>
  </si>
  <si>
    <t>Assumptions B7:B8 / Calc B113:B116</t>
  </si>
  <si>
    <t>Prioritise detailed assessment and rehabilitation/replacement planning.</t>
  </si>
  <si>
    <t>AMBER threshold</t>
  </si>
  <si>
    <t>Lower end &gt;5 and &lt;=10 years.</t>
  </si>
  <si>
    <t>Begin detailed surveys and medium-term rehabilitation planning.</t>
  </si>
  <si>
    <t>Soil</t>
  </si>
  <si>
    <t>Single master factor table: Low 0.85, Moderate 1.00, High 1.15, Severe 1.35, Unknown Average 1.0875, Unknown Worst Case 1.35.</t>
  </si>
  <si>
    <t>Deterioration</t>
  </si>
  <si>
    <t>Assumptions E12:H18 / Calc F6</t>
  </si>
  <si>
    <t>Soil can shorten life but cannot extend it above normal baseline.</t>
  </si>
  <si>
    <t>Service pressure</t>
  </si>
  <si>
    <t>Minimum Required Service Pressure is compared with Actual and What-If pressure.</t>
  </si>
  <si>
    <t>Operational check</t>
  </si>
  <si>
    <t>Dashboard B13:B14/B26</t>
  </si>
  <si>
    <t>Below-minimum scenarios remain visible but are marked operationally unacceptable.</t>
  </si>
  <si>
    <t>Intermittent supply is always life-shortening relative to otherwise equivalent continuous supply.</t>
  </si>
  <si>
    <t>Condition factor</t>
  </si>
  <si>
    <t>Dashboard B27 / Calc B109</t>
  </si>
  <si>
    <t>Transient/cycling affects all pipes; metallic route includes a larger conservative penalty for possible internal oxygen-corrosion exposure.</t>
  </si>
  <si>
    <t>Soil independence</t>
  </si>
  <si>
    <t>External soil corrosion is independent of supply regime.</t>
  </si>
  <si>
    <t>Condition principle</t>
  </si>
  <si>
    <t>Fewer supply hours do not reduce the external soil-corrosion factor.</t>
  </si>
  <si>
    <t>Scope disclaimer</t>
  </si>
  <si>
    <t>Transient loading is included only as a pipe-condition/failure mechanism; the workbook does not assess Calm Networks performance.</t>
  </si>
  <si>
    <t>Life range</t>
  </si>
  <si>
    <t>User-facing life is a range, not a precise period.</t>
  </si>
  <si>
    <t>Uncertainty</t>
  </si>
  <si>
    <t>Calc B112:B116</t>
  </si>
  <si>
    <t>Engineering Best-Practice ±30%; valid measured acoustic velocity ±20%; Direct Wall/NDT ±15%. The direct-wall result remains local evidence unless representative measurements support section-level interpretation.</t>
  </si>
  <si>
    <t>The Dashboard method selector determines the active evidence route; inactive measurement boxes do not affect life.</t>
  </si>
  <si>
    <t>Evidence rule</t>
  </si>
  <si>
    <t>Calc L36 / B80-B85</t>
  </si>
  <si>
    <t>Manual Structural Condition affects only the selected Engineering Best-Practice Assessment route.</t>
  </si>
  <si>
    <t>Direct-wall % correction</t>
  </si>
  <si>
    <t>Direct Wall/NDT life does not require an embedded original wall if an actual wall thickness has been measured. An embedded reference, where available, supports wall-loss percentage and reference-retention diagnostics. Without it, those diagnostics are suppressed and the measured-wall reserve to the critical planning wall is used. Acoustic calculations still require valid embedded calibration data.</t>
  </si>
  <si>
    <t>Error control</t>
  </si>
  <si>
    <t>Calc B86/B92</t>
  </si>
  <si>
    <t>Missing/conflicting reference returns unavailable instead of false values such as 7000%.</t>
  </si>
  <si>
    <t>Direct-wall caveat</t>
  </si>
  <si>
    <t>One wall reading is local unless representative measurements cover the assessed length.</t>
  </si>
  <si>
    <t>Credible velocity is an average/equivalent section condition, not a local pitting measurement.</t>
  </si>
  <si>
    <t>Every future engineering/formula/input change must update this section at the same time.</t>
  </si>
  <si>
    <t>Version</t>
  </si>
  <si>
    <t>v15.1 implements the agreed engineering decisions and the wall-percentage correction.</t>
  </si>
  <si>
    <t>Planning philosophy</t>
  </si>
  <si>
    <t>The model makes the planning decision from the evidence entered rather than asking users for specialist minimum-wall design parameters.</t>
  </si>
  <si>
    <t>v15.2 INTERMITTENT-SUPPLY METHOD — TRANSPARENT SEVERITY-BASED LOGIC</t>
  </si>
  <si>
    <t>Why changed</t>
  </si>
  <si>
    <t>The previous fixed 12% metallic / 6% non-metallic life penalties could appear more scientifically precise than the available evidence supports.</t>
  </si>
  <si>
    <t>v15.2 replaces those fixed percentages with mechanism-based screening logic.</t>
  </si>
  <si>
    <t>All pipe materials</t>
  </si>
  <si>
    <t>Intermittent supply forces at least Moderate pressure-cycling/transient severity.</t>
  </si>
  <si>
    <t>Condition mechanism</t>
  </si>
  <si>
    <t>Calc L22 / I7</t>
  </si>
  <si>
    <t>If the entered cycling severity is already High or Severe, the worse entered value remains in force.</t>
  </si>
  <si>
    <t>Metallic pipes</t>
  </si>
  <si>
    <t>Intermittent metallic pipe receives a separate 0.95 planning-retention allowance for potential internal oxygen-corrosion exposure where lining condition is not explicitly known.</t>
  </si>
  <si>
    <t>Screening allowance</t>
  </si>
  <si>
    <t>Calc B109</t>
  </si>
  <si>
    <t>This is a transparent conservative planning assumption, not a universal measured deterioration rate.</t>
  </si>
  <si>
    <t>Non-metallic pipes</t>
  </si>
  <si>
    <t>No metallic internal-corrosion allowance is applied.</t>
  </si>
  <si>
    <t>Material distinction</t>
  </si>
  <si>
    <t>Calc I7 / B109</t>
  </si>
  <si>
    <t>Intermittent operation still worsens condition through repeated pressure cycling/transients.</t>
  </si>
  <si>
    <t>External soil</t>
  </si>
  <si>
    <t>Soil aggressiveness remains independent of supply regime.</t>
  </si>
  <si>
    <t>Calc F6</t>
  </si>
  <si>
    <t>Intermittent supply does not reduce external soil-corrosion exposure.</t>
  </si>
  <si>
    <t>No intermittent-operation allowance is applied; entered transient/cycling severity still affects the condition assessment.</t>
  </si>
  <si>
    <t>Baseline</t>
  </si>
  <si>
    <t>Continuous operation is not assumed to be transient-free if field evidence indicates cycling/surge.</t>
  </si>
  <si>
    <t>Calm Networks scope</t>
  </si>
  <si>
    <t>This is not a Calm Networks assessment.</t>
  </si>
  <si>
    <t>Transient/cycling and oxygen-corrosion mechanisms are included only because they affect pipe condition and failure risk.</t>
  </si>
  <si>
    <t>Future calibration</t>
  </si>
  <si>
    <t>If utility-specific lining records, supply-cycle frequency or validated failure data become available, the intermittent allowances can be calibrated without changing the evidence hierarchy.</t>
  </si>
  <si>
    <t>Calibration</t>
  </si>
  <si>
    <t>v15.2 updates the live calculation, Dashboard explanation and Data Collection / How It Works documentation together.</t>
  </si>
  <si>
    <t>v15.3 UNIT SYSTEM / ATTRIBUTION UPDATE</t>
  </si>
  <si>
    <t>Concept and Engineering Methodology</t>
  </si>
  <si>
    <t>Stuart Hamilton, Hydro Tec Ltd</t>
  </si>
  <si>
    <t>Attribution</t>
  </si>
  <si>
    <t>Engineering concept and methodology ownership shown as requested.</t>
  </si>
  <si>
    <t>Unit selector</t>
  </si>
  <si>
    <t>A dedicated Unit Selection tab provides Metric / Imperial choices.</t>
  </si>
  <si>
    <t>Interface</t>
  </si>
  <si>
    <t>Unit Selection!B4</t>
  </si>
  <si>
    <t>The selector is established now; automatic conversions and US nominal-size recognition are intentionally deferred.</t>
  </si>
  <si>
    <t>Current calculation basis</t>
  </si>
  <si>
    <t>Existing calculations remain on their present metric engineering basis until the conversion stage is implemented.</t>
  </si>
  <si>
    <t>This avoids partial unit conversion or mixed-unit calculation risk.</t>
  </si>
  <si>
    <t>v15.3</t>
  </si>
  <si>
    <t>v15.4 VISIBLE UNIT SELECTOR / METRIC LENGTH CORRECTION</t>
  </si>
  <si>
    <t>Metric / Imperial dropdown is on the dedicated Unit Selection tab and the current selection is displayed prominently on the Dashboard.</t>
  </si>
  <si>
    <t>This corrects the visibility issue in v15.3.</t>
  </si>
  <si>
    <t>Metric surveyed length</t>
  </si>
  <si>
    <t>Dashboard length input is now kilometres, not metres.</t>
  </si>
  <si>
    <t>Input</t>
  </si>
  <si>
    <t>Dashboard!B4</t>
  </si>
  <si>
    <t>The Calc Engine converts km to metres internally so existing engineering formulas remain consistent.</t>
  </si>
  <si>
    <t>Metric failure rate remains bursts/100 km/year and uses the internally converted length.</t>
  </si>
  <si>
    <t>Calculation</t>
  </si>
  <si>
    <t>Dashboard!B24 / Calc Engine!B41</t>
  </si>
  <si>
    <t>The choices are visible now, but detailed miles/inches/psi conversions and US nominal pipe-size recognition remain intentionally deferred to the full conversion stage.</t>
  </si>
  <si>
    <t>No mixed-unit engineering calculations are allowed in this interim version.</t>
  </si>
  <si>
    <t>Concept and Engineering Methodology: Stuart Hamilton, Hydro Tec Ltd</t>
  </si>
  <si>
    <t>v15.5 READABILITY / ROW-HEIGHT STANDARD</t>
  </si>
  <si>
    <t>User-facing sheets</t>
  </si>
  <si>
    <t>Row heights are deliberately increased and text wrapping is enabled so instructions and engineering wording are visible without manually resizing rows.</t>
  </si>
  <si>
    <t>Presentation standard</t>
  </si>
  <si>
    <t>This standard should be maintained in all future versions.</t>
  </si>
  <si>
    <t>Dashboard</t>
  </si>
  <si>
    <t>Input/help rows use generous fixed heights, with additional height on long explanatory rows and output wording.</t>
  </si>
  <si>
    <t>Future wording changes must retain enough row height for the full text to remain visible.</t>
  </si>
  <si>
    <t>v15.6 DASHBOARD UNIT-SELECTION CONTROL</t>
  </si>
  <si>
    <t>Primary control</t>
  </si>
  <si>
    <t>The Metric / Imperial selector is a prominent editable dropdown on the Dashboard beside the date and length inputs.</t>
  </si>
  <si>
    <t>Dashboard!B2</t>
  </si>
  <si>
    <t>The user no longer has to open a separate tab to change the unit system.</t>
  </si>
  <si>
    <t>Unit Selection tab</t>
  </si>
  <si>
    <t>The dedicated tab now mirrors the Dashboard choice and remains as a reference/configuration page.</t>
  </si>
  <si>
    <t>Length display</t>
  </si>
  <si>
    <t>Dashboard shows the current length unit immediately beside the selector: km for Metric and miles for Imperial.</t>
  </si>
  <si>
    <t>Dashboard!E4</t>
  </si>
  <si>
    <t>Metric and Imperial conversion is fully implemented. v17.45 removes the redundant US Imperial selector and simplifies the Imperial diameter display without changing the canonical metric calculation.</t>
  </si>
  <si>
    <t>Row heights</t>
  </si>
  <si>
    <t>Wrapped text uses fitted row heights. Merged output areas have additional height because Excel AutoFit does not reliably size merged cells. Row-height adjustment is allowed on all protected sheets.</t>
  </si>
  <si>
    <t>v15.7 FULL UNIT-CONVERSION ARCHITECTURE</t>
  </si>
  <si>
    <t>Primary selector</t>
  </si>
  <si>
    <t>Metric / Imperial is selected on Dashboard B2.</t>
  </si>
  <si>
    <t>The selector is deliberately dominant beside survey date and surveyed length.</t>
  </si>
  <si>
    <t>Metric length</t>
  </si>
  <si>
    <t>User enters km; engine converts to metres.</t>
  </si>
  <si>
    <t>Conversion</t>
  </si>
  <si>
    <t>Calc Engine!B41</t>
  </si>
  <si>
    <t>1 km = 1,000 m.</t>
  </si>
  <si>
    <t>Imperial / US length</t>
  </si>
  <si>
    <t>User enters miles; engine converts to metres.</t>
  </si>
  <si>
    <t>1 mile = 1,609.344 m.</t>
  </si>
  <si>
    <t>Diameter / wall</t>
  </si>
  <si>
    <t>Metric diameter uses exact mm reference values. Imperial diameter uses rounded inch display labels containing the exact metric reference in brackets; the engine uses the metric reference.</t>
  </si>
  <si>
    <t>Calc Engine!B5 / B7</t>
  </si>
  <si>
    <t>1 inch = 25.4 mm.</t>
  </si>
  <si>
    <t>Pressure</t>
  </si>
  <si>
    <t>Metric pressure input is metres head; Imperial input is psi. Engine converts psi to metres water head.</t>
  </si>
  <si>
    <t>Calc Engine!B8/B9/B12/B36/B107</t>
  </si>
  <si>
    <t>1 psi = 0.7032496149 m water head.</t>
  </si>
  <si>
    <t>Failure KPI</t>
  </si>
  <si>
    <t>Metric reports bursts/100 km/year; Imperial reports bursts/100 miles/year.</t>
  </si>
  <si>
    <t>Reporting</t>
  </si>
  <si>
    <t>Dashboard!B24</t>
  </si>
  <si>
    <t>The classification thresholds are currently the same numeric screening bands; US-specific calibration can be added later.</t>
  </si>
  <si>
    <t>Velocity</t>
  </si>
  <si>
    <t>Measured correlator velocity remains m/ms in every unit mode.</t>
  </si>
  <si>
    <t>Engineering rule</t>
  </si>
  <si>
    <t>Calc Engine!B6</t>
  </si>
  <si>
    <t>The existing velocity reference method is retained; nominal US pipe-size recognition is intentionally deferred.</t>
  </si>
  <si>
    <t>Single engine</t>
  </si>
  <si>
    <t>All unit systems feed one metric calculation engine.</t>
  </si>
  <si>
    <t>This avoids duplicated engineering logic and ensures equivalent physical inputs produce equivalent life results.</t>
  </si>
  <si>
    <t>v15.8 UNIT-CONVERSION VALIDATION</t>
  </si>
  <si>
    <t>Pressure conversion</t>
  </si>
  <si>
    <t>All Imperial pressure inputs use one consistent psi-to-metres-head conversion factor.</t>
  </si>
  <si>
    <t>1 psi = 0.7030695796 m water head.</t>
  </si>
  <si>
    <t>Failure-rate display</t>
  </si>
  <si>
    <t>Metric displays bursts/100 km/year; Imperial displays bursts/100 miles/year.</t>
  </si>
  <si>
    <t>Dashboard!A24:C24</t>
  </si>
  <si>
    <t>Failure classification</t>
  </si>
  <si>
    <t>Imperial displayed failure rates are converted to canonical bursts/100 km/year before applying the existing engineering thresholds.</t>
  </si>
  <si>
    <t>Calc Engine!B45</t>
  </si>
  <si>
    <t>This prevents the threshold meaning changing merely because display units changed.</t>
  </si>
  <si>
    <t>Equivalent physical cases</t>
  </si>
  <si>
    <t>Metric and Imperial inputs representing the same physical pipe are required to give the same canonical diameter, wall, pressures and remaining-life result.</t>
  </si>
  <si>
    <t>Validated in the development tests below.</t>
  </si>
  <si>
    <t>Acoustic velocity</t>
  </si>
  <si>
    <t>Acoustic velocity remains m/ms in Metric and Imperial modes.</t>
  </si>
  <si>
    <t>No unit conversion is applied to acoustic velocity.</t>
  </si>
  <si>
    <t>US nominal sizes</t>
  </si>
  <si>
    <t>US nominal pipe-size recognition remains intentionally deferred; current Imperial / US diameter entry is a physical inch value converted to mm.</t>
  </si>
  <si>
    <t>A reference-size mapping layer can be added later without changing the condition methodology.</t>
  </si>
  <si>
    <t>v15.9 PROMINENT UNIT CONTROL</t>
  </si>
  <si>
    <t>Dashboard placement</t>
  </si>
  <si>
    <t>The unit-system control is the first working control below the model title, before Survey Date and Location.</t>
  </si>
  <si>
    <t>Dashboard!D2:E3</t>
  </si>
  <si>
    <t>This is the primary place to change Metric / Imperial.</t>
  </si>
  <si>
    <t>Visibility</t>
  </si>
  <si>
    <t>The selector uses a high-contrast header, highlighted dropdown and increased row height so it is immediately visible when the workbook opens.</t>
  </si>
  <si>
    <t>Presentation</t>
  </si>
  <si>
    <t>Dashboard!D2:E4</t>
  </si>
  <si>
    <t>v16.0 UNIT SELECTION FIRST</t>
  </si>
  <si>
    <t>First action</t>
  </si>
  <si>
    <t>Unit system selection is now the first working control immediately below the model title, before Location and Survey Date.</t>
  </si>
  <si>
    <t>Dashboard!A2:B2</t>
  </si>
  <si>
    <t>Users should select units before entering survey data.</t>
  </si>
  <si>
    <t>Location / date</t>
  </si>
  <si>
    <t>Survey Date and Location follow directly beneath the unit selector.</t>
  </si>
  <si>
    <t>Dashboard!A3:E3</t>
  </si>
  <si>
    <t>v16.6 LOCATION FIELD CORRECTION</t>
  </si>
  <si>
    <t>Location field</t>
  </si>
  <si>
    <t>Dashboard E3 is a plain text location input only. It has no unit-system dropdown.</t>
  </si>
  <si>
    <t>Dashboard!E3</t>
  </si>
  <si>
    <t>Residual validation from the former unit-selector position has been removed.</t>
  </si>
  <si>
    <t>Dashboard B2 is the only Metric / Imperial selector.</t>
  </si>
  <si>
    <t>v17.28 EXCEL DISPLAY / MESC III ATTRIBUTION</t>
  </si>
  <si>
    <t>Development team</t>
  </si>
  <si>
    <t>Stuart Hamilton; Raid Al-Zraikat; Naem Saleh; Danial Warq</t>
  </si>
  <si>
    <t>Names and email addresses shown at top of User Guide.</t>
  </si>
  <si>
    <t>Logo positioned beside development-team names.</t>
  </si>
  <si>
    <t>Excel display</t>
  </si>
  <si>
    <t>Rebuilt from v17.25 with Dashboard style structure preserved.</t>
  </si>
  <si>
    <t>Reliability</t>
  </si>
  <si>
    <t>Avoids the style-table changes introduced in v17.26/v17.27.</t>
  </si>
  <si>
    <t>v17.28</t>
  </si>
  <si>
    <t>v17.30 METHOD-AWARE CONDITION DISPLAY</t>
  </si>
  <si>
    <t>Condition diagnostics</t>
  </si>
  <si>
    <t>Inactive acoustic/direct-wall diagnostics no longer display misleading N/A values.</t>
  </si>
  <si>
    <t>Inactive method-specific fields show — or NOT ACTIVE.</t>
  </si>
  <si>
    <t>Ductile iron / class changes</t>
  </si>
  <si>
    <t>A stale incompatible class uses the valid material fallback until the user selects a new class.</t>
  </si>
  <si>
    <t>Prevents failed reference lookups after changing material.</t>
  </si>
  <si>
    <t>Direct wall / NDT</t>
  </si>
  <si>
    <t>Material dropdown restricted to metallic pipe materials.</t>
  </si>
  <si>
    <t>Input control</t>
  </si>
  <si>
    <t>Non-metallic materials are not offered for Direct Wall/NDT.</t>
  </si>
  <si>
    <t>Acoustic route</t>
  </si>
  <si>
    <t>Material dropdown restricted to materials with embedded acoustic reference data.</t>
  </si>
  <si>
    <t>Unsupported materials cannot be newly selected for acoustic assessment.</t>
  </si>
  <si>
    <t>v17.30</t>
  </si>
  <si>
    <t>v17.31 EXCEL COMPATIBILITY FIX</t>
  </si>
  <si>
    <t>Replaced array-style MATCH/INDEX reference retrieval with SUMIFS.</t>
  </si>
  <si>
    <t>Excel compatibility</t>
  </si>
  <si>
    <t>Prevents cached results turning to #N/A when Excel recalculates after Enable Editing or a material change.</t>
  </si>
  <si>
    <t>Calc Engine B16/B17 only; engineering equations and reference data unchanged.</t>
  </si>
  <si>
    <t>Reference lookup remains gated by the existing exact-match validation in B101.</t>
  </si>
  <si>
    <t>v17.31</t>
  </si>
  <si>
    <t>v17.32 CONTINUOUS DIRECT-WALL LIFE LOGIC</t>
  </si>
  <si>
    <t>Direct Wall/NDT life</t>
  </si>
  <si>
    <t>Measured wall now influences remaining planning life at every pipe age, not only after nominal planning life is exhausted.</t>
  </si>
  <si>
    <t>Engineering logic</t>
  </si>
  <si>
    <t>Removes the artificial 75-year life discontinuity.</t>
  </si>
  <si>
    <t>Measured reserve</t>
  </si>
  <si>
    <t>Actual governing Direct Wall/NDT measurement is projected to the model critical planning wall using the calculated deterioration rate. No generic pitting deduction is applied to the Direct Wall measurement; Engineering Best-Practice and indirect/Acoustic estimation retain their model pitting allowance.</t>
  </si>
  <si>
    <t>Condition evidence</t>
  </si>
  <si>
    <t>Use the smaller of measured reserve and the larger of chronological remaining life or 25 years; apply the retained-condition factors without a threshold jump.</t>
  </si>
  <si>
    <t>Young healthy pipe</t>
  </si>
  <si>
    <t>For a younger pipe, a chronological horizon above 25 years is retained only to the extent supported by measured wall-reserve life. The same continuous rule applies on both sides of the 25-year reserve threshold.</t>
  </si>
  <si>
    <t>Planning</t>
  </si>
  <si>
    <t>The evidence horizon is a review limit, not an automatic replacement date.</t>
  </si>
  <si>
    <t>Old healthy pipe</t>
  </si>
  <si>
    <t>Valid measured wall can extend planning life beyond the nominal age-only result before or after 75 years.</t>
  </si>
  <si>
    <t>Representative NDT and periodic reassessment remain required.</t>
  </si>
  <si>
    <t>Poor measured wall</t>
  </si>
  <si>
    <t>A low measured reserve can reduce remaining life immediately regardless of chronological age.</t>
  </si>
  <si>
    <t>Safety</t>
  </si>
  <si>
    <t>Measured evidence can move life both upward and downward.</t>
  </si>
  <si>
    <t>v17.32</t>
  </si>
  <si>
    <t>v17.33 USER GUIDE — DIRECT WALL PROCESS</t>
  </si>
  <si>
    <t>Main methodology</t>
  </si>
  <si>
    <t>Rewrote the metallic planning-life section to explain continuous Direct Wall/NDT condition evidence at every pipe age.</t>
  </si>
  <si>
    <t>Documentation</t>
  </si>
  <si>
    <t>Removes obsolete wording that measured evidence only applies after nominal life is exhausted.</t>
  </si>
  <si>
    <t>25-year horizon</t>
  </si>
  <si>
    <t>The 25-year value is a review horizon for measured evidence. It is combined continuously with chronological remaining life; it is neither added to life nor switched on at age 75.</t>
  </si>
  <si>
    <t>Explains why 1950 and 1960 examples should not show a discontinuity.</t>
  </si>
  <si>
    <t>v17.34</t>
  </si>
  <si>
    <t>02-Sep-2026</t>
  </si>
  <si>
    <t>Diameter input changed to material-dependent drop-down; unsupported combinations such as 200 mm Galvanized iron can no longer be selected.</t>
  </si>
  <si>
    <t>v17.35</t>
  </si>
  <si>
    <t>Method-specific diameter control. Direct Wall/NDT restricted to embedded wall-reference sizes; Acoustic restricted to calibrated sizes; Engineering Best-Practice retains broad planning sizes. Removed generic wall/diameter fallback from Direct Wall life calibration.</t>
  </si>
  <si>
    <t>v17.36</t>
  </si>
  <si>
    <t>Direct Wall/NDT revised to accept actual measured wall for broader physical diameters even where no nominal wall reference exists. Life uses measured reserve to material absolute/pressure-required critical wall; reference-wall percentage diagnostics are suppressed when reference data are absent.</t>
  </si>
  <si>
    <t>v17.37</t>
  </si>
  <si>
    <t>Restored pipe-type/material dropdown. Ductile iron and Grey cast iron engineering/direct-wall diameter lists now start at 75 mm; acoustic lists remain restricted to actual embedded calibrated sizes (80 mm upward where present).</t>
  </si>
  <si>
    <t>v17.38</t>
  </si>
  <si>
    <t>Diameter drop-down tightened to available material/reference sizes. Ductile iron and Grey cast iron start at 80 mm. Imperial / US Imperial menus use the same physical sizes converted from mm to inches.</t>
  </si>
  <si>
    <t>v17.39</t>
  </si>
  <si>
    <t>Renamed Galvanized steel to Galvanized iron throughout. Corrected Direct Wall/NDT without embedded original-wall reference so actual point-thickness data remains valid, does not collapse life to zero, and user wording reports actual-wall assessment rather than N/A/reference-unavailable.</t>
  </si>
  <si>
    <t>v17.40</t>
  </si>
  <si>
    <t>Excel-native #VALUE! fix for Direct Wall/NDT when no original/reference wall exists. All reference-wall comparisons/divisions are now gated by ISNUMBER before use; actual measured wall continues to control reserve-life calculation.</t>
  </si>
  <si>
    <t>v17.41</t>
  </si>
  <si>
    <t>Final metallic engineering-basis review. Retained material-specific wall thresholds after review; adjusted pressure-screening stresses for ductile iron, copper and galvanized iron; added BS 1387 galvanized original-wall references so point-thickness uses observed wall loss/age where available; documented source basis and release governance.</t>
  </si>
  <si>
    <t>v17.42</t>
  </si>
  <si>
    <t>Final QA before release: restored pipe class/category dropdown, added missing pressure-cycling severity dropdown, and added an explicit Engineering Basis &amp; Research References section distinguishing published theory/source data from model-policy assumptions.</t>
  </si>
  <si>
    <t>ENGINEERING BASIS &amp; RESEARCH REFERENCES — RELEASE GOVERNANCE</t>
  </si>
  <si>
    <t>This section records where the principal engineering theory, published data and model-policy assumptions come from so the model can be independently reviewed.</t>
  </si>
  <si>
    <t>Release transparency</t>
  </si>
  <si>
    <t>Published references support the engineering basis; model-policy thresholds are separately identified and must not be misrepresented as universal standards.</t>
  </si>
  <si>
    <t>Ductile iron pressure design</t>
  </si>
  <si>
    <t>ANSI/AWWA C150/A21.50 / DIPRA thickness-design methodology: internal pressure including surge, external loading, service allowance and casting tolerance; DIPRA design procedure is intentionally conservative.</t>
  </si>
  <si>
    <t>Published engineering basis</t>
  </si>
  <si>
    <t>https://dipra.org/technical-resources/design-steps/planning-and-design/design/</t>
  </si>
  <si>
    <t>Ductile iron design calculator</t>
  </si>
  <si>
    <t>DIPRA calculator follows ANSI/AWWA C150/A21.50 and explicitly uses conservative assumptions and safety factors.</t>
  </si>
  <si>
    <t>https://dipra.org/technical-resources/calculators/thickness-design/</t>
  </si>
  <si>
    <t>Cast iron deterioration</t>
  </si>
  <si>
    <t>Published cast-iron trunk-main testing shows residual strength decreases with graphitisation depth and that local/non-uniform section loss can be significantly more damaging than uniform loss.</t>
  </si>
  <si>
    <t>Published research</t>
  </si>
  <si>
    <t>https://www.sciencedirect.com/science/article/abs/pii/S0921509313003420</t>
  </si>
  <si>
    <t>Corroded metallic remaining strength</t>
  </si>
  <si>
    <t>ASME B31G is a recognised remaining-strength framework for corroded pipelines. The model borrows the engineering principle that remaining capacity depends on retained metal and loading, not one universal wall-failure thickness.</t>
  </si>
  <si>
    <t>https://www.asme.org/codes-standards/find-codes-standards/manual-for-determining-the-remaining-strength-of-corroded-pipelines</t>
  </si>
  <si>
    <t>Copper pressure basis</t>
  </si>
  <si>
    <t>Copper Tube Handbook gives allowable tensile stress values by temper and temperature; the model uses the conservative annealed value where temper/joint condition is unknown.</t>
  </si>
  <si>
    <t>https://www.copper.org/publications/pub_list/pdf/copper_tube_handbook.pdf</t>
  </si>
  <si>
    <t>Galvanized iron original wall</t>
  </si>
  <si>
    <t>BS 1387:1985 medium-series nominal walls embedded in Source Metallic Pipes are used as the reference wall for the available Galvanized iron sizes.</t>
  </si>
  <si>
    <t>Embedded standard/source data</t>
  </si>
  <si>
    <t>Source Metallic Pipes — BS 1387:1985 table</t>
  </si>
  <si>
    <t>Acoustic wave-speed theory</t>
  </si>
  <si>
    <t>Korteweg-type wave-speed physics links pressure-wave velocity to fluid bulk modulus, pipe diameter, wall thickness and elastic modulus. The model uses calibration/reference pairs rather than an uncalibrated universal velocity-life curve.</t>
  </si>
  <si>
    <t>Published theory + calibrated implementation</t>
  </si>
  <si>
    <t>https://www.mdpi.com/1996-1073/18/18/5005</t>
  </si>
  <si>
    <t>Acoustic field validation</t>
  </si>
  <si>
    <t>EPA field demonstration and commercial condition-assessment practice support using acoustic methods as condition screening that should be validated against direct/internal/external measurements for important decisions.</t>
  </si>
  <si>
    <t>Published/field evidence</t>
  </si>
  <si>
    <t>https://cfpub.epa.gov/si/si_public_record_report.cfm?Lab=NRMRL&amp;dirEntryId=283716</t>
  </si>
  <si>
    <t>Material wall thresholds</t>
  </si>
  <si>
    <t>55%/3.0 mm Grey CI; 45%/2.5 mm DI; 35%/2.5 mm Carbon steel; 50%/0.8 mm Copper; 40%/1.5 mm Galvanized iron are conservative MODEL PLANNING THRESHOLDS selected from the combined source data, material behaviour and engineering judgement. They are not claimed as universal code failure thicknesses.</t>
  </si>
  <si>
    <t>Explicit model-policy assumption</t>
  </si>
  <si>
    <t>Material Assumptions!D:E + engineering-basis notes</t>
  </si>
  <si>
    <t>Life bands</t>
  </si>
  <si>
    <t>RED &lt;=5 years and AMBER &lt;=10 years are asset-planning intervention bands, not predicted physical failure dates.</t>
  </si>
  <si>
    <t>Assumptions &amp; Method!B7:B8</t>
  </si>
  <si>
    <t>25-year measured-evidence horizon</t>
  </si>
  <si>
    <t>The 25-year review horizon bounds condition-based extension when chronological remaining life is shorter. Direct Wall is further limited by measured reserve. Acoustic reserve scales the applicable horizon. This is model policy, not a service-life guarantee.</t>
  </si>
  <si>
    <t>Assumptions &amp; Method!B76</t>
  </si>
  <si>
    <t>Deterioration-rate rule</t>
  </si>
  <si>
    <t>When direct measured wall and a valid original/reference wall exist, the forward planning rate is the greater of the conservative material/soil rate and observed historical wall loss divided by pipe age.</t>
  </si>
  <si>
    <t>Evidence-priority engineering rule</t>
  </si>
  <si>
    <t>Calc Engine!B21; Assumptions &amp; Method!A77:C77</t>
  </si>
  <si>
    <t>Release interpretation</t>
  </si>
  <si>
    <t>This workbook is a condition-assessment and rehabilitation-planning screening model. It does not replace detailed fitness-for-service, fracture-mechanics, geotechnical or manufacturer-specific assessment where safety-critical decisions require them.</t>
  </si>
  <si>
    <t>Scope/governance</t>
  </si>
  <si>
    <t>User Guide / Audit &amp; Validation</t>
  </si>
  <si>
    <t>v17.43</t>
  </si>
  <si>
    <t>04-Sep-2026</t>
  </si>
  <si>
    <t>Independent AI formula/logic review fixes: restored live engine-side diameter, installation-year and selected-method evidence guards; removed future-year age concealment; added lower acoustic plausibility bound; added live guard regression checks and updated audit/governance documentation.</t>
  </si>
  <si>
    <t>v17.43 INDEPENDENT FORMULA/LOGIC REVIEW — RELEASE FIXES</t>
  </si>
  <si>
    <t>Input-guard defect</t>
  </si>
  <si>
    <t>Previous core-status formulas referenced cells that had later been repurposed for direct-wall evidence horizons. Dedicated validation cells B146:B148 now hold diameter, installation-year and selected-method evidence status and are reserved from reuse.</t>
  </si>
  <si>
    <t>Release-blocking fix</t>
  </si>
  <si>
    <t>Calc Engine B143:B148</t>
  </si>
  <si>
    <t>Pasted/imported values are now blocked by engine logic, not only Dashboard validation.</t>
  </si>
  <si>
    <t>Diameter guard</t>
  </si>
  <si>
    <t>Canonical internal diameter must be numeric and between 25 and 5,000 mm.</t>
  </si>
  <si>
    <t>Calc B146 / P8</t>
  </si>
  <si>
    <t>A pasted 100,000 mm diameter returns INVALID and the headline is blocked.</t>
  </si>
  <si>
    <t>Installation-year guard</t>
  </si>
  <si>
    <t>Installation year must be a whole year from 1800 through YEAR(Survey Date). Pipe age no longer uses MAX(0,...) to hide a future installation year.</t>
  </si>
  <si>
    <t>Calc B147 / B15 / P9</t>
  </si>
  <si>
    <t>A 2050 installation year against a 2026 survey date is blocked rather than converted to age zero.</t>
  </si>
  <si>
    <t>Direct-wall evidence guard</t>
  </si>
  <si>
    <t>Direct Wall/NDT requires a metallic route and a positive numeric measured wall.</t>
  </si>
  <si>
    <t>Evidence validity</t>
  </si>
  <si>
    <t>Calc B148 / P10</t>
  </si>
  <si>
    <t>Blank NDT/UT evidence produces INPUT CHECK REQUIRED rather than a life result or Excel error.</t>
  </si>
  <si>
    <t>Acoustic evidence guard</t>
  </si>
  <si>
    <t>Measured Acoustic Velocity requires a supported metallic calibration and must pass both upper and lower physical/plausibility bounds.</t>
  </si>
  <si>
    <t>Calc B125 / B148 / P10</t>
  </si>
  <si>
    <t>Velocity below 50% of the selected calibration velocity is treated as an input-quality problem, not published as a 0-year condition result.</t>
  </si>
  <si>
    <t>Acoustic lower bound</t>
  </si>
  <si>
    <t>50% of selected calibration velocity.</t>
  </si>
  <si>
    <t>MODEL INPUT-PLAUSIBILITY POLICY</t>
  </si>
  <si>
    <t>Chosen to catch gross decimal/unit/measurement errors while retaining a wide deterioration range. It is not a structural failure threshold and may be recalibrated with field evidence.</t>
  </si>
  <si>
    <t>Multiplicative retention</t>
  </si>
  <si>
    <t>Soil × structural/condition × joints × cycling × failure-history retention remains multiplicative by design.</t>
  </si>
  <si>
    <t>Reviewed model assumption</t>
  </si>
  <si>
    <t>Assumptions &amp; Method A80:C80</t>
  </si>
  <si>
    <t>This compounds concurrent adverse mechanisms conservatively; it is not an accidental arithmetic interaction.</t>
  </si>
  <si>
    <t>Below-reference pressure credit</t>
  </si>
  <si>
    <t>The existing bounded pressure benefit below the 50 m reference is retained after review.</t>
  </si>
  <si>
    <t>Calc L25 + final life caps</t>
  </si>
  <si>
    <t>It may partly offset other penalties but cannot create life beyond the model's chronological/evidence caps. Future utility calibration may revise this response.</t>
  </si>
  <si>
    <t>Future enhancements</t>
  </si>
  <si>
    <t>Representative NDT/UT reading count and unknown-input count could be used in a future version to vary uncertainty width; historic manufacturing-wall cohorts could improve old Grey Cast Iron reference selection.</t>
  </si>
  <si>
    <t>Enhancement — not release blocker</t>
  </si>
  <si>
    <t>Not introduced in v17.43 to avoid unnecessary late-stage changes to validated engineering logic.</t>
  </si>
  <si>
    <t>v17.44 FINAL FULL QA — RELEASE ACCEPTANCE</t>
  </si>
  <si>
    <t>Full regression after the independent review: engine-side invalid-input guards; all three evidence routes; all supported material routes; Direct Wall/NDT; calibrated Acoustic; Engineering Best-Practice; unit equivalence; engineering-direction checks; dropdowns; reference tables; live formula-error scan; RAG output response; and live self-tests.</t>
  </si>
  <si>
    <t>Release QA</t>
  </si>
  <si>
    <t>76 live regression checks executed: 76 PASS, 0 FAIL.</t>
  </si>
  <si>
    <t>Invalid-input behaviour</t>
  </si>
  <si>
    <t>Out-of-range diameter, future/non-whole installation year, missing/zero Direct Wall evidence, missing/implausibly-low acoustic evidence, negative pressure/surge, zero survey length and invalid burst-history inputs were tested. Each blocked the headline with INPUT CHECK REQUIRED and did not publish a normal condition result.</t>
  </si>
  <si>
    <t>Calc Engine B143:B148 / Dashboard D7</t>
  </si>
  <si>
    <t>Engine-side guards operate independently of Dashboard data validation.</t>
  </si>
  <si>
    <t>Route regression</t>
  </si>
  <si>
    <t>Engineering Best-Practice has been tested across every supported metallic and non-metallic material. Direct Wall/NDT has been tested across the released metallic material/class/diameter space. Final acoustic scope is Ductile iron, Grey cast iron and Carbon steel only; Copper is excluded from the acoustic remaining-life route.</t>
  </si>
  <si>
    <t>No silent measured-route substitution was accepted.</t>
  </si>
  <si>
    <t>Engineering-direction checks</t>
  </si>
  <si>
    <t>Higher pressure, severe soil, severe cycling, intermittent supply and higher failure evidence did not improve life. Thicker measured wall and healthier valid acoustic evidence did not reduce life. Consequence changed planning priority but not remaining-life arithmetic.</t>
  </si>
  <si>
    <t>Behavioural regression</t>
  </si>
  <si>
    <t>These are logic-direction checks; they do not replace field calibration.</t>
  </si>
  <si>
    <t>Unit equivalence</t>
  </si>
  <si>
    <t>Representative Grey Cast Iron, Galvanized Iron and Carbon Steel Direct Wall cases were tested using equivalent Metric and Imperial physical inputs. Remaining life, critical wall and canonical failure rate matched to numerical precision. The Imperial point-thickness input was confirmed to convert from inches to the same internal mm value used by the Metric case.</t>
  </si>
  <si>
    <t>Unit QA</t>
  </si>
  <si>
    <t>Unit Selection + canonical Calc Engine inputs</t>
  </si>
  <si>
    <t>The current model uses Metric and Imperial only. A separate US Imperial mode is unnecessary because the quantities used here are miles, inches and psi; no UK/US gallon or other volume conversion is used.</t>
  </si>
  <si>
    <t>Dropdown/reference checks</t>
  </si>
  <si>
    <t>All required Dashboard categorical dropdowns were confirmed present. Ductile Iron and Grey Cast Iron physical/acoustic diameter lists start at 80 mm. Galvanized Iron BS 1387 reference-wall values remain embedded and correctly labelled.</t>
  </si>
  <si>
    <t>Input governance</t>
  </si>
  <si>
    <t>The diameter lists continue to offer only the intended physical/reference sizes.</t>
  </si>
  <si>
    <t>Formula and output check</t>
  </si>
  <si>
    <t>A workbook-wide scan found no live #REF!, #DIV/0!, #VALUE!, #NAME?, #N/A, #NUM! or #NULL! outputs. Historical text mentioning those errors remains in the User Guide/Audit as documentation only. Key GREEN/RED result and priority boxes were also confirmed to change computed RAG style between scenarios.</t>
  </si>
  <si>
    <t>No live formula errors found in the final baseline or invalid-input tests.</t>
  </si>
  <si>
    <t>Release status</t>
  </si>
  <si>
    <t>v17.44 is the post-independent-review final QA release candidate. No engineering assumption was altered during this pass because no additional logic defect was demonstrated.</t>
  </si>
  <si>
    <t>Future enhancements remain separate from release fixes.</t>
  </si>
  <si>
    <t>Companion paper</t>
  </si>
  <si>
    <t>The technical paper requires a small alignment update before publication: describe the dedicated engine-side guard architecture, the lower acoustic input-plausibility bound, and the live regression/self-test governance introduced in v17.43-v17.44. The underlying engineering methodology and material assumptions do not need rewriting.</t>
  </si>
  <si>
    <t>Documentation governance</t>
  </si>
  <si>
    <t>Paper update is a release-governance amendment, not a change to the central concept.</t>
  </si>
  <si>
    <t>v17.44</t>
  </si>
  <si>
    <t>Final full QA after independent review: 76 live checks passed. Invalid-input guards, all evidence/material routes, monotonic engineering behaviour, Metric/Imperial equivalence, dropdown/reference governance, live formula-error scan, RAG response and self-tests revalidated. User Guide updated and companion-paper alignment flagged.</t>
  </si>
  <si>
    <t>v17.45</t>
  </si>
  <si>
    <t>Imperial usability refinement: removed redundant US Imperial selector because the current model uses only miles, inches and psi; Imperial diameter dropdown now shows rounded inch labels with exact metric reference in brackets, preserving exact metric calculation geometry. 16/16 unit/display QA checks passed.</t>
  </si>
  <si>
    <t>v17.46</t>
  </si>
  <si>
    <t>Release documentation alignment. User Guide strengthened to state explicitly that Imperial pipe diameter is a rounded display label with exact metric reference retained, while Direct Wall / point-thickness measurements are entered as precise decimal inches and converted internally at 25.4 mm/in. No engineering formula, material threshold or model calibration changed.</t>
  </si>
  <si>
    <t>v17.47 DIRECT WALL / POINT-THICKNESS REFINEMENT</t>
  </si>
  <si>
    <t>Reason for change</t>
  </si>
  <si>
    <t>A sensitivity review of an 8 in (~200 mm) Grey Cast Iron Direct Wall case showed that the measured wall thickness was influencing life twice: first through measured reserve plus the observed deterioration rate, and again through a wall-derived structural-retention multiplier.</t>
  </si>
  <si>
    <t>Engineering correction</t>
  </si>
  <si>
    <t>Direct Wall/NDT only</t>
  </si>
  <si>
    <t>The second multiplication was removed to avoid double-counting the same evidence.</t>
  </si>
  <si>
    <t>Revised Direct Wall life</t>
  </si>
  <si>
    <t>Remaining life is based on actual governing measured wall minus planning-critical wall, divided by the governing deterioration rate. No generic pitting deduction is applied to Direct Wall/NDT. The result is then modified only by independent factors such as pressure, installation/joints, cycling/supply regime and failure history.</t>
  </si>
  <si>
    <t>Engineering method</t>
  </si>
  <si>
    <t>Calc Engine L36 / B137:B140</t>
  </si>
  <si>
    <t>Soil/environment remains reflected in the governing deterioration rate.</t>
  </si>
  <si>
    <t>Reserve indicator</t>
  </si>
  <si>
    <t>The Direct Wall structural-reserve ratio remains available as a diagnostic and condition-band indicator. It can still move a pipe toward AMBER/RED as the measured wall approaches the critical planning wall, but it is not multiplied into life a second time. It is calculated as the measured wall reserve between the planning-critical wall and the selected original/reference wall. It is a local structural-wall indicator, not the percentage of service life remaining and not a probability of failure.</t>
  </si>
  <si>
    <t>Calc Engine B130 / B93</t>
  </si>
  <si>
    <t>This preserves conservative warning behaviour without duplicate life reduction.</t>
  </si>
  <si>
    <t>Imperial point thickness</t>
  </si>
  <si>
    <t>No unit change. Imperial Direct Wall/NDT still requires the actual measured thickness in decimal inches and converts it internally to mm. The v17.47 refinement is independent of the Metric/Imperial conversion.</t>
  </si>
  <si>
    <t>Units</t>
  </si>
  <si>
    <t>Dashboard B12 / Calc B7</t>
  </si>
  <si>
    <t>0.300 in remains 7.62 mm; no nominal rounding is applied to measured wall.</t>
  </si>
  <si>
    <t>Expected behaviour</t>
  </si>
  <si>
    <t>Remaining life now changes more progressively with measured wall while still declining strongly near the critical planning wall. A 0.1 in change on an 8 in pipe is 2.54 mm and can remain significant, especially for aged Grey Cast Iron.</t>
  </si>
  <si>
    <t>The model does not artificially smooth a genuinely small structural reserve.</t>
  </si>
  <si>
    <t>Engineering formula refined following sensitivity review; User Guide, Assumptions and Audit updated. Full direct-wall regression and workbook error scan completed before release.</t>
  </si>
  <si>
    <t>v17.47</t>
  </si>
  <si>
    <t>Direct Wall/NDT life refined to remove duplicate wall-thickness penalty. Measured wall continues to control pitting-adjusted reserve, critical-wall margin and governing deterioration rate; wall-reserve ratio remains diagnostic/RAG evidence but is no longer multiplied into life. Direct-wall regression, Imperial equivalence and formula-error QA completed.</t>
  </si>
  <si>
    <t>v17.48 ALL-DIAMETER DIRECT WALL QA</t>
  </si>
  <si>
    <t>Reason for review</t>
  </si>
  <si>
    <t>After the v17.47 Direct Wall refinement, every selectable metallic material/class/diameter combination was challenged around its planning-critical wall rather than assuming the 8 in Grey Cast Iron case was representative.</t>
  </si>
  <si>
    <t>The purpose was to improve the model only where a real inconsistency was demonstrated.</t>
  </si>
  <si>
    <t>Headline RAG correction</t>
  </si>
  <si>
    <t>The Direct Wall reserve diagnostic could previously be AMBER while the headline remained GREEN if the life range exceeded 10 years. The headline now uses the more severe of the measured-reserve band and the life band.</t>
  </si>
  <si>
    <t>FIXED</t>
  </si>
  <si>
    <t>Calc Engine B93/B98</t>
  </si>
  <si>
    <t>This removes contradictory GREEN/AMBER messaging without changing the measured reserve-life physics.</t>
  </si>
  <si>
    <t>Diameter-scope correction</t>
  </si>
  <si>
    <t>The global engine guard has always defined a 25 mm minimum, but the Carbon steel and Copper helper lists still exposed a few source sizes below 25 mm. Those source rows remain in the reference data, but are no longer selectable.</t>
  </si>
  <si>
    <t>Calc Engine AI/AJ helper lists</t>
  </si>
  <si>
    <t>Carbon steel now starts at 55 mm; Copper at 26 mm. The 25 mm model floor is retained rather than weakened.</t>
  </si>
  <si>
    <t>Comprehensive Direct Wall matrix</t>
  </si>
  <si>
    <t>305 selectable material/class/diameter combinations were checked at three wall levels around the relevant planning threshold: 915 Direct Wall scenario points. The matrix covers Ductile Iron, Grey Cast Iron, Carbon Steel, Copper, Galvanized Iron and Unknown Metallic.</t>
  </si>
  <si>
    <t>For every selectable combination, lower wall must not improve life; the Direct Wall effective structural-retention multiplier remains 1; and the headline RAG must match the worst of life and measured-reserve bands.</t>
  </si>
  <si>
    <t>Result</t>
  </si>
  <si>
    <t>All selectable Direct Wall combinations passed after the two corrections above. No material threshold was changed merely to smooth the output, and no diameter was altered to make results look better.</t>
  </si>
  <si>
    <t>PASS</t>
  </si>
  <si>
    <t>The model remains intentionally material-specific and may still show a steep life reduction when physical reserve genuinely approaches the planning-critical wall.</t>
  </si>
  <si>
    <t>If a future user request conflicts with the engineering logic or source scope, the model should not be changed simply to satisfy the request. Changes require a demonstrated defect, defensible engineering reason, or better evidence.</t>
  </si>
  <si>
    <t>Release principle</t>
  </si>
  <si>
    <t>v17.48</t>
  </si>
  <si>
    <t>All selectable Direct Wall material/class/diameter combinations reviewed after v17.47. Corrected headline RAG to take the worst of life and measured-reserve bands; removed sub-25 mm Carbon steel/Copper source sizes from selectable lists to align with the existing model scope. Source data retained. Full all-diameter QA recorded.</t>
  </si>
  <si>
    <t>v17.49 DIRECT WALL ACTUAL-MEASUREMENT RULE</t>
  </si>
  <si>
    <t>Engineering decision</t>
  </si>
  <si>
    <t>For Direct Wall/NDT, use the actual governing measured remaining wall as entered. The engineer is assumed to have measured or accounted for the lowest relevant pitting point at the inspected location.</t>
  </si>
  <si>
    <t>Method refinement</t>
  </si>
  <si>
    <t>No additional generic pitting deduction is applied.</t>
  </si>
  <si>
    <t>Reason</t>
  </si>
  <si>
    <t>A direct thickness measurement is already physical evidence of the remaining wall. Automatically removing another material pitting percentage can unnecessarily penalise the same local condition evidence.</t>
  </si>
  <si>
    <t>This is distinct from estimated/indirect condition routes.</t>
  </si>
  <si>
    <t>Engineering Best-Practice</t>
  </si>
  <si>
    <t>The material-specific pitting allowance is retained because wall condition is being estimated rather than directly measured.</t>
  </si>
  <si>
    <t>UNCHANGED</t>
  </si>
  <si>
    <t>Measured Acoustic</t>
  </si>
  <si>
    <t>The material-specific pitting allowance is retained because acoustic equivalent wall is an indirect/section-average estimate and may not capture the lowest local wall.</t>
  </si>
  <si>
    <t>Grey Cast Iron warning</t>
  </si>
  <si>
    <t>Graphitization, local pitting and corrosion morphology can reduce structural quality or create local minima that a single thickness reading may not fully represent. Representative NDT and engineering judgement remain essential where decisions are material.</t>
  </si>
  <si>
    <t>All selectable Direct Wall material/class/diameter combinations were revalidated after this change: 305 combinations and 915 threshold-oriented scenario points. All passed for monotonic wall response, exact use of entered Direct Wall thickness, RAG consistency and no duplicate wall multiplier. Metric/Imperial equivalence, Engineering/Acoustic route isolation and workbook formula integrity also passed.</t>
  </si>
  <si>
    <t>QA</t>
  </si>
  <si>
    <t>v17.49</t>
  </si>
  <si>
    <t>Direct Wall/NDT now uses the actual governing measured wall as entered, with no additional generic pitting deduction. Engineering Best-Practice and Measured Acoustic retain material-specific pitting allowances. User Guide, assumptions, warnings and release QA updated.</t>
  </si>
  <si>
    <t>v17.50 WHAT-IF RAG ALIGNMENT</t>
  </si>
  <si>
    <t>Issue identified</t>
  </si>
  <si>
    <t>The Current Condition box and What-if Pressure box did not use fully equivalent Direct Wall RAG logic. The current box honoured measured-reserve RED/AMBER as well as life, while the what-if box used life thresholds only.</t>
  </si>
  <si>
    <t>Dashboard D12 / Calc Engine B150:B153</t>
  </si>
  <si>
    <t>Current Condition and What-if Pressure now also use the identical RAG fill/font palette, so equal RAG results are visually identical rather than merely carrying the same RED/AMBER/GREEN label.</t>
  </si>
  <si>
    <t>Direct Wall what-if</t>
  </si>
  <si>
    <t>The model now recalculates the what-if critical planning wall, direct-wall reserve indicator and direct-wall condition band using the what-if pressure.</t>
  </si>
  <si>
    <t>The what-if headline uses the worse of its own reserve band and life band.</t>
  </si>
  <si>
    <t>Same pressure rule</t>
  </si>
  <si>
    <t>If current pressure and what-if pressure are the same, both boxes must show the same life range and the same RAG colour.</t>
  </si>
  <si>
    <t>Release rule</t>
  </si>
  <si>
    <t>This is now regression-tested.</t>
  </si>
  <si>
    <t>Changed pressure rule</t>
  </si>
  <si>
    <t>If the what-if pressure differs, the what-if colour may differ only because the resulting life, critical wall or measured reserve genuinely changes.</t>
  </si>
  <si>
    <t>Service pressure check</t>
  </si>
  <si>
    <t>The what-if box now uses the what-if pressure requirement status rather than the current-pressure status.</t>
  </si>
  <si>
    <t>Calc Engine B111</t>
  </si>
  <si>
    <t>v17.50</t>
  </si>
  <si>
    <t>What-if Pressure RAG aligned with Current Condition logic. Added pressure-specific Direct Wall critical-wall/reserve/condition calculations for the what-if route; same pressure now guarantees same life/RAG, while changed pressure can legitimately change the what-if result. What-if service-requirement check corrected to use B111.</t>
  </si>
  <si>
    <t>v17.51 WHAT-IF OPERATIONAL CLARITY</t>
  </si>
  <si>
    <t>A user may intentionally test a what-if pressure below the minimum service-pressure requirement. Previously the box turned RED, but the reason for RED was not explicit enough when the structural life itself remained AMBER/GREEN.</t>
  </si>
  <si>
    <t>Presentation + governance</t>
  </si>
  <si>
    <t>What-if Pressure box</t>
  </si>
  <si>
    <t>No structural formula or threshold changed.</t>
  </si>
  <si>
    <t>Revised display</t>
  </si>
  <si>
    <t>Below minimum service pressure: OPERATIONAL STATUS: RED — BELOW MINIMUM SERVICE PRESSURE, followed by the separate STRUCTURAL CONDITION and structural life range.</t>
  </si>
  <si>
    <t>Dashboard D12</t>
  </si>
  <si>
    <t>This makes the operational override transparent.</t>
  </si>
  <si>
    <t>Normal what-if case</t>
  </si>
  <si>
    <t>When what-if pressure satisfies the service requirement, the box simply reports STRUCTURAL CONDITION plus the life range using the same structural RAG logic as the current condition.</t>
  </si>
  <si>
    <t>Pressure below the service minimum is not treated as damaging the pipe. It is flagged because the scenario does not meet the entered operational requirement.</t>
  </si>
  <si>
    <t>v17.51</t>
  </si>
  <si>
    <t>What-if Pressure display clarified for below-minimum-service-pressure scenarios. Operational RED override is now explicitly separated from the underlying structural condition and structural remaining-life result. No engineering threshold, life formula or Direct Wall calculation changed.</t>
  </si>
  <si>
    <t>v17.52 AUTO / MANUAL SEVERE ALIGNMENT</t>
  </si>
  <si>
    <t>Issue raised</t>
  </si>
  <si>
    <t>Auto from failure rate was reported as producing a lower life than manual Severe. That is not intended where Auto has classified the pipe as Severe.</t>
  </si>
  <si>
    <t>Robustness fix</t>
  </si>
  <si>
    <t>Both Severe routes now use one centralized formula.</t>
  </si>
  <si>
    <t>For the same pipe and calculated failure rate, Auto -&gt; Severe and manual Severe must produce identical burst-history retention and remaining life.</t>
  </si>
  <si>
    <t>Calc Engine B154 / L30</t>
  </si>
  <si>
    <t>Selection mode alone cannot alter the Severe penalty.</t>
  </si>
  <si>
    <t>Severe graduation</t>
  </si>
  <si>
    <t>The existing Severe graduation is retained: 0.75 at the Severe threshold, reducing to 0.60 at 80 bursts/100 km/year and above.</t>
  </si>
  <si>
    <t>Live self-check</t>
  </si>
  <si>
    <t>A dedicated engine check reports PASS when Auto-derived Severe or manual Severe is active and the centralized Severe factor is being used.</t>
  </si>
  <si>
    <t>Calc Engine B155</t>
  </si>
  <si>
    <t>Representative methods and multiple Severe failure rates were tested for Auto/manual equality before release.</t>
  </si>
  <si>
    <t>v17.52</t>
  </si>
  <si>
    <t>05-Sep-2026</t>
  </si>
  <si>
    <t>Failure-history Severe logic centralized so Auto-derived Severe and manual Severe use the same graduated retention factor for the same calculated failure rate. Added live self-check and User Guide clarification. Engineering thresholds unchanged.</t>
  </si>
  <si>
    <t>v17.53 STRUCTURAL AUTO FLOOR ALIGNMENT</t>
  </si>
  <si>
    <t>Structural Condition Auto could derive a retention below the manually selectable Very poor condition, allowing Auto to produce a shorter life than the model's worst defined structural category.</t>
  </si>
  <si>
    <t>Engineering Best-Practice structural logic</t>
  </si>
  <si>
    <t>This was inconsistent with the stated Good / Moderate / Poor / Very poor scale.</t>
  </si>
  <si>
    <t>Correction</t>
  </si>
  <si>
    <t>Auto remains continuous but is now floored at the current Very poor retention from Assumptions &amp; Method F24.</t>
  </si>
  <si>
    <t>Calc Engine B136</t>
  </si>
  <si>
    <t>No change to the manual condition factors.</t>
  </si>
  <si>
    <t>Manual scale</t>
  </si>
  <si>
    <t>Good 1.00 / Moderate 0.92 / Poor 0.80 / Very poor 0.65.</t>
  </si>
  <si>
    <t>The Auto floor references the Very poor assumption cell rather than hard-coding 0.65.</t>
  </si>
  <si>
    <t>Robustness</t>
  </si>
  <si>
    <t>Future governed changes remain synchronized.</t>
  </si>
  <si>
    <t>Worst-case Auto scenarios, manual Very poor comparison, route isolation and the v17.52 Auto-Severe burst-history fix were regression-tested.</t>
  </si>
  <si>
    <t>v17.53</t>
  </si>
  <si>
    <t>Structural Condition Auto is now constrained to the same defined manual scale and cannot fall below the Very poor retention. Auto remains continuous between 0.65 and 1.00. Burst-history Auto/Severe alignment from v17.52 retained unchanged.</t>
  </si>
  <si>
    <t>v17.54 MATERIAL / CLASS / DIAMETER RESELECT GUARD</t>
  </si>
  <si>
    <t>Changing Pipe Material can leave the previous material's class and/or diameter in the input cells. The dynamic dropdown updates, but Excel does not automatically clear the old cell value without VBA.</t>
  </si>
  <si>
    <t>A stale unsupported combination could previously continue into Engineering Best-Practice calculations.</t>
  </si>
  <si>
    <t>The engine now validates the retained class against the current material class list and the retained canonical diameter against the current material/method-dependent diameter list.</t>
  </si>
  <si>
    <t>Engineering control</t>
  </si>
  <si>
    <t>Calc Engine B157:B159</t>
  </si>
  <si>
    <t>Unsupported stale selections block the assessment.</t>
  </si>
  <si>
    <t>Dashboard response</t>
  </si>
  <si>
    <t>C9 and C10 immediately display PLEASE RESELECT PIPE CLASS / PIPE DIAMETER when needed. The main condition/life output also reports INPUT CHECK REQUIRED and publishes no normal life conclusion.</t>
  </si>
  <si>
    <t>User-facing</t>
  </si>
  <si>
    <t>Dashboard C9:C10 / Calc Engine P11</t>
  </si>
  <si>
    <t>No unnecessary reset</t>
  </si>
  <si>
    <t>If a retained class/diameter is also valid for the newly selected material/method, the assessment remains valid; the user is not forced to reselect the same valid value.</t>
  </si>
  <si>
    <t>Design rule</t>
  </si>
  <si>
    <t>Class normalisation</t>
  </si>
  <si>
    <t>Invalid/stale classes are no longer silently mapped to Unknown - average in the reference lookup logic.</t>
  </si>
  <si>
    <t>Calc Engine B103</t>
  </si>
  <si>
    <t>Cross-material stale-diameter tests, stale-class tests, valid-overlap tests, Imperial parsing and previous v17.52/v17.53 regression checks were run before release.</t>
  </si>
  <si>
    <t>v17.54</t>
  </si>
  <si>
    <t>06-Sep-2026</t>
  </si>
  <si>
    <t>Added material/class/diameter stale-selection validation. Unsupported retained class or diameter after a material/method change now blocks the assessment and prompts explicit reselection. Valid overlapping selections remain accepted. Structural Auto floor and burst-history Auto/Severe alignment retained unchanged.</t>
  </si>
  <si>
    <t>FINAL v17.55 ACOUSTIC VELOCITY VALIDATION</t>
  </si>
  <si>
    <t>All released acoustic diameters for Ductile iron, Grey cast iron and Carbon steel were benchmarked against independent correlator manufacturer velocity tables.</t>
  </si>
  <si>
    <t>FINAL QA</t>
  </si>
  <si>
    <t>61 material/diameter calibrations</t>
  </si>
  <si>
    <t>All within ±10%.</t>
  </si>
  <si>
    <t>Removed from Measured Acoustic Velocity remaining-life route. Retained under Engineering Best-Practice and Direct Wall/NDT.</t>
  </si>
  <si>
    <t>RELEASE SCOPE</t>
  </si>
  <si>
    <t>Conservative governance</t>
  </si>
  <si>
    <t>Avoids claiming a broadly validated Copper velocity-to-life relationship from leak-correlation lookup data alone.</t>
  </si>
  <si>
    <t>A duplicated 450-mm source entry was traced to the embedded BS 4622 source sequence and corrected to 350 mm. 350 mm is restored to the dropdown and 450-mm Unknown values are recalculated from true 450-mm rows.</t>
  </si>
  <si>
    <t>CORRECTED</t>
  </si>
  <si>
    <t>Source / calibration</t>
  </si>
  <si>
    <t>Duplicate class/diameter conflict removed.</t>
  </si>
  <si>
    <t>Condition logic</t>
  </si>
  <si>
    <t>A valid velocity below the healthy reference is now condition evidence, not an automatic pipe-identity failure. It lowers acoustic equivalent wall/life. RED occurs when equivalent wall reaches the planning-critical wall.</t>
  </si>
  <si>
    <t>Acoustic interpretation</t>
  </si>
  <si>
    <t>Validity separated from condition.</t>
  </si>
  <si>
    <t>100 mm Grey CI @ 1.20 m/ms</t>
  </si>
  <si>
    <t>Confirmed physically plausible and below the nominal healthy reference. The final model uses it as reduced-stiffness evidence.</t>
  </si>
  <si>
    <t>CONFIRMED</t>
  </si>
  <si>
    <t>User example</t>
  </si>
  <si>
    <t>Equivalent wall is approximately 6.1 mm under Unknown Average calibration.</t>
  </si>
  <si>
    <t>Graphs</t>
  </si>
  <si>
    <t>Pressure/life graph wording now states clearly that it is a planning sensitivity curve, not a physical failure-date curve. The value axis is anchored at zero where supported to avoid visual exaggeration.</t>
  </si>
  <si>
    <t>DEFENSIBLE WORDING</t>
  </si>
  <si>
    <t>Failure Curve</t>
  </si>
  <si>
    <t>No engineering threshold or life formula softened merely for appearance.</t>
  </si>
  <si>
    <t>Acoustic scope, validity/condition distinction, Copper exclusion, 350-mm GCI correction and graph interpretation updated.</t>
  </si>
  <si>
    <t>COMPLETE</t>
  </si>
  <si>
    <t>Release</t>
  </si>
  <si>
    <t>Final workbook includes a dedicated Velocity QA sheet with external benchmark values and URLs.</t>
  </si>
  <si>
    <t>FINAL</t>
  </si>
  <si>
    <t>v17.55</t>
  </si>
  <si>
    <t>09-Sep-2026</t>
  </si>
  <si>
    <t>FINAL release: acoustic scope restricted to DI/GCI/Carbon steel; all released diameters externally benchmarked; Grey CI 350-mm source typo corrected; velocity validity separated from condition; documentation and QA updated.</t>
  </si>
  <si>
    <t>FINAL v17.56 FULL COMBINATION QA / NON-METALLIC ROUTE CORRECTION</t>
  </si>
  <si>
    <t>Issue found</t>
  </si>
  <si>
    <t>The dedicated non-metallic screening equations existed in Calc Engine I3:I19, but the published life-range cells B113:B116 were still wired to the metallic L13:L14 route. This could make different non-metallic materials publish the same metallic-style result.</t>
  </si>
  <si>
    <t>Critical route wiring</t>
  </si>
  <si>
    <t>User observation led to a full route audit.</t>
  </si>
  <si>
    <t>Published life routing</t>
  </si>
  <si>
    <t>Metallic results use L13/L14. Non-metallic/structural results now use I13/I14, with the same Engineering Best-Practice uncertainty treatment and a cap at nominal chronological remaining life.</t>
  </si>
  <si>
    <t>Calc B113:B116</t>
  </si>
  <si>
    <t>The graphical pressure/life sheet previously used metallic formulas for every material. It now switches to the active non-metallic screening equation when a non-metallic/structural material is selected.</t>
  </si>
  <si>
    <t>Failure Curve C6:E16</t>
  </si>
  <si>
    <t>Engineering formulas retained; wording strengthened.</t>
  </si>
  <si>
    <t>Input guards</t>
  </si>
  <si>
    <t>Added explicit categorical-input, consequence 1–5 and non-metallic positive pressure-rating checks so pasted/invalid values cannot silently fall through formula defaults.</t>
  </si>
  <si>
    <t>ADDED</t>
  </si>
  <si>
    <t>Calc B160:B163 / P12</t>
  </si>
  <si>
    <t>Non-metallic Engineering Best-Practice now shows its own base screening life, chronological remaining life and screening factors; metallic-only wall diagnostics display — for non-metallic assets.</t>
  </si>
  <si>
    <t>Dashboard D35:D49</t>
  </si>
  <si>
    <t>Release scope</t>
  </si>
  <si>
    <t>Engineering Best-Practice: all listed materials. Direct Wall/NDT: metallic only. Acoustic: Ductile iron, Grey cast iron, Carbon steel only.</t>
  </si>
  <si>
    <t>Method governance</t>
  </si>
  <si>
    <t>Every selectable material/class/diameter combination is checked structurally; every released categorical option and numeric boundary family is covered by the final QA matrix and live route regression.</t>
  </si>
  <si>
    <t>Audit &amp; Validation / Full QA</t>
  </si>
  <si>
    <t>v17.56</t>
  </si>
  <si>
    <t>FINAL full-combination QA release: corrected non-metallic published-life routing and non-metallic Failure Curve; added categorical/consequence/pressure-rating guards; refreshed Dashboard and User Guide; revalidated all released method/material/class/diameter combinations.</t>
  </si>
  <si>
    <t>v17.57 MEASURED-ROUTE CRITICAL-WALL FIX</t>
  </si>
  <si>
    <t>In Direct Wall/NDT and Acoustic routes, the pressure-required critical wall was still using an Auto structural-strength factor partly derived from measured/estimated wall. As measured wall changed, the critical wall could move, creating a self-referential condition boundary.</t>
  </si>
  <si>
    <t>Calc Engine B24/B27/B29/B126</t>
  </si>
  <si>
    <t>Found during full Direct Wall all-combination regression.</t>
  </si>
  <si>
    <t>Direct Wall/NDT and Measured Acoustic Velocity now use pressure structural-strength factor = 1.00. Measured condition is already represented by measured wall/equivalent wall and is not deducted again.</t>
  </si>
  <si>
    <t>Measured routes</t>
  </si>
  <si>
    <t>Critical wall is independent of the measured wall being assessed.</t>
  </si>
  <si>
    <t>Retains its condition-dependent pressure-strength screening factor. Auto is now floored at 0.55 so it cannot be harsher than manual Very poor on this pressure-strength scale.</t>
  </si>
  <si>
    <t>Aligned</t>
  </si>
  <si>
    <t>Engineering route</t>
  </si>
  <si>
    <t>Regression requirement</t>
  </si>
  <si>
    <t>Re-run all 305 Direct Wall combinations at nominal/intermediate/below-critical walls and all 251 Acoustic combinations at healthy/reduced/critical-oriented velocities.</t>
  </si>
  <si>
    <t>REQUIRED</t>
  </si>
  <si>
    <t>v17.57</t>
  </si>
  <si>
    <t>Measured-route critical-wall self-reference removed; Engineering Auto pressure factor floor aligned to manual Very poor. Full route regression restarted.</t>
  </si>
  <si>
    <t>v17.58 FAILURE-CURVE / INPUT-BOUNDARY QA</t>
  </si>
  <si>
    <t>Failure Curve issue</t>
  </si>
  <si>
    <t>Graph 1 used a generic metallic pressure-life expression for all metallic routes. This did not fully mirror Direct Wall reserve-life behaviour and omitted the separate intermittent metallic allowance; post-nominal Acoustic extension was also not represented.</t>
  </si>
  <si>
    <t>Failure Curve D6:D16</t>
  </si>
  <si>
    <t>Found during route-by-route QA.</t>
  </si>
  <si>
    <t>Graph correction</t>
  </si>
  <si>
    <t>Graph 1 now follows Engineering Best-Practice, Direct Wall/NDT, Measured Acoustic or non-metallic screening logic as selected. Engineering equations were not softened.</t>
  </si>
  <si>
    <t>Pressure sensitivity graph</t>
  </si>
  <si>
    <t>Burst-history period</t>
  </si>
  <si>
    <t>Negative or nonnumeric history period is now blocked even where burst count is zero/blank. Positive burst counts still require a positive history period.</t>
  </si>
  <si>
    <t>Calc B142/B144</t>
  </si>
  <si>
    <t>Prevents nonsensical pasted history inputs.</t>
  </si>
  <si>
    <t>At a plotted pressure equal to the Dashboard pressure, Graph 1 central life must equal the main active-route central life for representative Engineering, Direct Wall, Acoustic and non-metallic cases.</t>
  </si>
  <si>
    <t>v17.58</t>
  </si>
  <si>
    <t>Failure Curve aligned to active route; intermittent/post-nominal measured evidence included; burst-history period boundary guard strengthened.</t>
  </si>
  <si>
    <t>v17.59 GRAPH PRESSURE-BASIS CORRECTION</t>
  </si>
  <si>
    <t>The graph x-axis correctly showed operating pressure, but the metallic pressure modifier was being calculated from operating pressure alone while the main engine uses operating pressure plus surge.</t>
  </si>
  <si>
    <t>Failure Curve C6:C16</t>
  </si>
  <si>
    <t>This caused Graph 1 to overstate life relative to the Dashboard when surge was non-zero.</t>
  </si>
  <si>
    <t>Graph 1 now evaluates peak pressure = operating pressure + entered surge for metallic and non-metallic routes, while keeping operating pressure on the horizontal axis.</t>
  </si>
  <si>
    <t>All active routes</t>
  </si>
  <si>
    <t>v17.59</t>
  </si>
  <si>
    <t>Failure Curve pressure basis aligned exactly with the main engine; graph/current-life equality regression restarted.</t>
  </si>
  <si>
    <t>v17.60 INVALID-INPUT / WARNING-PRIORITY HARDENING</t>
  </si>
  <si>
    <t>Survey date / year</t>
  </si>
  <si>
    <t>Pasted text in Survey Date or Installation Year could propagate #VALUE! through YEAR()/INT() before the status guard resolved.</t>
  </si>
  <si>
    <t>Calc B15/B147</t>
  </si>
  <si>
    <t>Invalid date/year now gives controlled INPUT CHECK REQUIRED.</t>
  </si>
  <si>
    <t>Pasted text could propagate #VALUE! through INT().</t>
  </si>
  <si>
    <t>Calc B161</t>
  </si>
  <si>
    <t>Only whole-number 1–5 values are accepted.</t>
  </si>
  <si>
    <t>Burst/history</t>
  </si>
  <si>
    <t>Pasted text in burst count or history period could propagate #VALUE! into validation and failure-rate display.</t>
  </si>
  <si>
    <t>Dashboard B25 / Calc B142</t>
  </si>
  <si>
    <t>Invalid entries are blanked/blocked without spreadsheet errors.</t>
  </si>
  <si>
    <t>Unsupported method warning</t>
  </si>
  <si>
    <t>Unsupported Acoustic materials could report a secondary diameter-reselection warning before explaining that the acoustic route itself is not released for that material.</t>
  </si>
  <si>
    <t>Calc B144/P10</t>
  </si>
  <si>
    <t>Method-scope warning now has priority.</t>
  </si>
  <si>
    <t>LONGTEXT prevention</t>
  </si>
  <si>
    <t>The material/class/diameter warning formula is now a short selector referencing static helper messages rather than embedding a very long text expression.</t>
  </si>
  <si>
    <t>Calc P11/P13:P16</t>
  </si>
  <si>
    <t>Avoids reintroducing unsupported _xlfn._LONGTEXT serialization.</t>
  </si>
  <si>
    <t>Final QA scope</t>
  </si>
  <si>
    <t>Every selectable method/material/class/diameter combination, all released categorical options, invalid-input boundary families, Metric/Imperial equivalence, graph/main-engine equality and workbook-wide formula-error scan are required before release.</t>
  </si>
  <si>
    <t>MANDATORY</t>
  </si>
  <si>
    <t>Audit &amp; Validation</t>
  </si>
  <si>
    <t>Do not label public release final until all v17.60 QA rows are PASS.</t>
  </si>
  <si>
    <t>QA HOLD</t>
  </si>
  <si>
    <t>v17.60</t>
  </si>
  <si>
    <t>Input-boundary guards hardened; unsupported-method warning priority corrected; LONGTEXT-risk warning formula removed; exhaustive final regression restarted.</t>
  </si>
  <si>
    <t>v17.61 AUDIT SELF-TEST / USER-GUIDE CONSISTENCY</t>
  </si>
  <si>
    <t>Audit self-test</t>
  </si>
  <si>
    <t>The synthetic future-year test depended on the live Dashboard survey date and could itself show #VALUE! when a user pasted an invalid survey date. It now uses a fixed synthetic date. Core-guard audit formula updated to current B163/B159/B146:B148/B142 architecture.</t>
  </si>
  <si>
    <t>Audit B147/B150</t>
  </si>
  <si>
    <t>Audit formulas must remain valid even when user inputs are deliberately invalid.</t>
  </si>
  <si>
    <t>Structural Auto wording now explicitly distinguishes metallic Engineering Best-Practice from the dedicated non-metallic route.</t>
  </si>
  <si>
    <t>User Guide B202</t>
  </si>
  <si>
    <t>v17.61</t>
  </si>
  <si>
    <t>Audit self-tests hardened against invalid Dashboard state; core-guard audit brought current; metallic/non-metallic Auto guidance clarified.</t>
  </si>
  <si>
    <t>v17.62 ACOUSTIC INVALID-TEXT HARDENING</t>
  </si>
  <si>
    <t>Pasting text into Measured Acoustic Velocity was correctly blocked by the main assessment guard, but Velocity Reference diagnostic helper columns still attempted numeric subtraction/comparison and produced hidden #VALUE! cells.</t>
  </si>
  <si>
    <t>Velocity Reference L:R</t>
  </si>
  <si>
    <t>Found by workbook-wide error scan under deliberately invalid acoustic input.</t>
  </si>
  <si>
    <t>Velocity Reference diagnostic formulas now test ISNUMBER before arithmetic/comparison, and all helper MIN/range references consistently extend through row 300.</t>
  </si>
  <si>
    <t>Velocity Reference L2:R300</t>
  </si>
  <si>
    <t>Invalid text returns neutral helper values with no spreadsheet errors.</t>
  </si>
  <si>
    <t>v17.62</t>
  </si>
  <si>
    <t>Acoustic diagnostic helper formulas hardened against pasted text; helper lookup ranges aligned through row 300. Exhaustive final QA restarted.</t>
  </si>
  <si>
    <t>v17.63 NON-METALLIC DEFENSIBILITY / GOVERNANCE</t>
  </si>
  <si>
    <t>Screening-horizon interpretation</t>
  </si>
  <si>
    <t>Non-metallic nominal life was already a model planning assumption, but the wording could be misread as a universal design/service life or physical expiry.</t>
  </si>
  <si>
    <t>CLARIFIED</t>
  </si>
  <si>
    <t>Dashboard C41 / User Guide B144:B155</t>
  </si>
  <si>
    <t>0 years at the horizon now explicitly means no positive age-only screening credit, not predicted immediate failure.</t>
  </si>
  <si>
    <t>Generic HIGH-priority wording referred to direct condition evidence in a way that could imply metallic UT/NDT for plastic, AC, concrete or PCCP.</t>
  </si>
  <si>
    <t>Dashboard D40</t>
  </si>
  <si>
    <t>Non-metallic recommendations now call for material-specific condition assessment.</t>
  </si>
  <si>
    <t>Evidence register</t>
  </si>
  <si>
    <t>Added WaterRF PVC, PE and AC research, EPA condition-assessment technology guidance, AWWA material-specific standards context, and PVC/HDPE longevity context.</t>
  </si>
  <si>
    <t>User Guide reference register</t>
  </si>
  <si>
    <t>Sources support mechanisms/governance; model numeric factors remain transparent screening assumptions.</t>
  </si>
  <si>
    <t>Calculation logic</t>
  </si>
  <si>
    <t>No numeric life factor or formula has been changed in v17.63.</t>
  </si>
  <si>
    <t>Engineering engine</t>
  </si>
  <si>
    <t>This release step improves defensibility and interpretation without tuning results to fit external claims.</t>
  </si>
  <si>
    <t>QA requirement</t>
  </si>
  <si>
    <t>Re-run all core route, invalid-input, unit, graph, and non-metallic age/pressure tests after this wording-only change.</t>
  </si>
  <si>
    <t>v17.63</t>
  </si>
  <si>
    <t>Non-metallic screening-horizon semantics and material-specific action wording strengthened; external evidence register expanded. No numeric engineering factors changed.</t>
  </si>
  <si>
    <t>v17.64 ZERO-FAILURE HISTORY CORRECTION</t>
  </si>
  <si>
    <t>With a valid surveyed length and history period but zero recorded bursts, Dashboard failure rate correctly calculated 0, yet the downstream canonical-rate formula could treat numeric zero like blank and classify the history as Insufficient data.</t>
  </si>
  <si>
    <t>Calc B45:B46</t>
  </si>
  <si>
    <t>Found during exact failure-threshold regression.</t>
  </si>
  <si>
    <t>Numeric ISNUMBER guards now distinguish zero from missing data. Zero recorded bursts over a valid history period classifies Nil and uses retention 1.00.</t>
  </si>
  <si>
    <t>Failure-history route</t>
  </si>
  <si>
    <t>No change to Minimal / Average / Severe thresholds.</t>
  </si>
  <si>
    <t>Regression</t>
  </si>
  <si>
    <t>Re-test 0, 0.1, 12.5, just over 12.5, 20, just over 20, 40, 80 and 100 bursts/100 km/year; Auto Severe must still match manual Severe.</t>
  </si>
  <si>
    <t>v17.64</t>
  </si>
  <si>
    <t>Zero-failure history handling corrected; numeric-zero guards replace ambiguous blank comparisons in failure-rate classification.</t>
  </si>
  <si>
    <t>v17.65 INVALID-INPUT PROPAGATION / ACTION-MESSAGE FIX</t>
  </si>
  <si>
    <t>Deliberately pasted text in pressure, surge, pressure rating or minimum-service inputs could be correctly marked INVALID while still propagating hidden #VALUE! errors through canonical arithmetic cells.</t>
  </si>
  <si>
    <t>Calc B8/B9/B12/B36/B107</t>
  </si>
  <si>
    <t>Invalid text now becomes blank canonical input; the core validation warning remains the user-facing control.</t>
  </si>
  <si>
    <t>Action formula</t>
  </si>
  <si>
    <t>The expanded material-specific recommendation formula in Dashboard D40 was long enough to risk unsupported formula serialization / #NAME? in the workbook engine.</t>
  </si>
  <si>
    <t>Calc P17:P25 + Dashboard D40</t>
  </si>
  <si>
    <t>Recommendation text moved to static helper cells; D40 is now a short selector formula.</t>
  </si>
  <si>
    <t>Non-metal diameter</t>
  </si>
  <si>
    <t>Confirmed across all 162 selectable non-metal material/diameter cases that diameter does not independently alter life. This is intentional and is now documented rather than left implicit.</t>
  </si>
  <si>
    <t>DOCUMENTED</t>
  </si>
  <si>
    <t>User Guide B149 / Assumptions</t>
  </si>
  <si>
    <t>Avoids inventing a diameter penalty without SDR/stiffness/external-load data.</t>
  </si>
  <si>
    <t>Re-run invalid-input error scans, valid route outputs, recommendation priority, units and non-metallic pressure/age grids.</t>
  </si>
  <si>
    <t>v17.65</t>
  </si>
  <si>
    <t>Numeric input propagation guards added; long recommendation formula replaced by helper messages; non-metal diameter treatment documented.</t>
  </si>
  <si>
    <t>v17.66 INVALID-INPUT ZERO-ERROR COMPLETION</t>
  </si>
  <si>
    <t>Length propagation</t>
  </si>
  <si>
    <t>Pasted text in surveyed length was correctly rejected by the core guard but still generated a hidden #VALUE! in canonical converted length.</t>
  </si>
  <si>
    <t>Calc B41</t>
  </si>
  <si>
    <t>Nonnumeric length now returns blank canonical value; user-facing assessment remains INVALID.</t>
  </si>
  <si>
    <t>Invalid surge text could still generate hidden #VALUE! cells across the failure-curve calculations even though the assessment was INVALID.</t>
  </si>
  <si>
    <t>Failure Curve B6:E16</t>
  </si>
  <si>
    <t>Curve cells now blank whenever core validation is INVALID; valid engineering equations are unchanged.</t>
  </si>
  <si>
    <t>Warning output</t>
  </si>
  <si>
    <t>Calc B144 previously retained a generic input-warning string even during a VALID assessment.</t>
  </si>
  <si>
    <t>Calc B144</t>
  </si>
  <si>
    <t>Warning is now blank when assessment is VALID.</t>
  </si>
  <si>
    <t>Re-run all deliberate invalid-input cases and confirm zero live formula errors; then re-run valid graph/main-engine equality.</t>
  </si>
  <si>
    <t>v17.66</t>
  </si>
  <si>
    <t>Length and failure-curve invalid-state propagation hardened; B144 warning blanked when assessment is valid.</t>
  </si>
  <si>
    <t>DIAMETER-SCOPE REFERENCE REGISTER — v17.67</t>
  </si>
  <si>
    <t>AWWA C900 / C901 / C906 standards list</t>
  </si>
  <si>
    <t>Current AWWA scopes support PVC pressure pipe 100–1,500 mm and PE water-service / waterworks ranges from 19–76 mm and 100–1,650 mm.</t>
  </si>
  <si>
    <t>PVC and HDPE selectable-range governance</t>
  </si>
  <si>
    <t>The workbook uses a conservative subset/rounded planning list; outside-list sizes require project-specific confirmation.</t>
  </si>
  <si>
    <t>AWWA C950 Fiberglass Pressure Pipe</t>
  </si>
  <si>
    <t>AWWA scope describes fiberglass pipe and joining systems from nominal 25 mm through 4,000 mm.</t>
  </si>
  <si>
    <t>https://www.awwa.org/AWWA-Articles/awwa-comment-period-on-awwa-c950-fiberglass-pressure-pipe/</t>
  </si>
  <si>
    <t>GRP selectable-range governance</t>
  </si>
  <si>
    <t>Workbook intentionally stops at 2,000 mm; this is a model-scope limit, not the standard maximum.</t>
  </si>
  <si>
    <t>Historical AWWA C400 asbestos-cement pressure pipe</t>
  </si>
  <si>
    <t>Historical AWWA C400 context includes legacy AC pressure-pipe size ranges beginning at 100 mm and, in older editions, extending to 900 mm.</t>
  </si>
  <si>
    <t>Historical standards context</t>
  </si>
  <si>
    <t>https://standards.globalspec.com/std/648405/awwa-c400</t>
  </si>
  <si>
    <t>Legacy AC selectable-range governance</t>
  </si>
  <si>
    <t>C400 is withdrawn; source is used only to bound legacy asset sizes, not as current design guidance.</t>
  </si>
  <si>
    <t>AWWA C302 / C303 concrete pressure pipe</t>
  </si>
  <si>
    <t>Current concrete-pressure-pipe standards cover large-diameter systems; C302 begins at 300 mm and C303 at 250 mm.</t>
  </si>
  <si>
    <t>Concrete selectable-range governance</t>
  </si>
  <si>
    <t>Workbook uses 250–2,000 mm as a conservative assessment scope spanning common reinforced/bar-wrapped concrete pressure-pipe families.</t>
  </si>
  <si>
    <t>AWWA C301 / C304 PCCP</t>
  </si>
  <si>
    <t>C301 describes prestressed concrete cylinder pipe from 16 in. / 410 mm upward; C304 provides the structural design framework.</t>
  </si>
  <si>
    <t>https://webstore.ansi.org/preview-pages/awwa/preview_c301-2014.pdf</t>
  </si>
  <si>
    <t>PCCP selectable-range governance</t>
  </si>
  <si>
    <t>Workbook uses 410–2,000 mm as a conservative subset; larger PCCP requires custom engineering.</t>
  </si>
  <si>
    <t>Diameter governance principle</t>
  </si>
  <si>
    <t>The dropdown prevents obviously non-defensible combinations such as 25 mm PCCP or 25 mm concrete while preserving broad international screening capability.</t>
  </si>
  <si>
    <t>Model governance</t>
  </si>
  <si>
    <t>Workbook logic</t>
  </si>
  <si>
    <t>All material-specific lists are validated by Calc Engine B158.</t>
  </si>
  <si>
    <t>Do not use the nearest selectable size as a substitute for an out-of-scope actual diameter.</t>
  </si>
  <si>
    <t>v17.67 MATERIAL-SPECIFIC NON-METALLIC DIAMETERS</t>
  </si>
  <si>
    <t>All non-metallic materials still shared the generic planning diameter list, allowing combinations such as 25 mm PCCP and 25 mm concrete that are not defensible for a release model.</t>
  </si>
  <si>
    <t>Calc AV:BA / AO2:AO40</t>
  </si>
  <si>
    <t>Deep defensibility review against material-specific standards scopes.</t>
  </si>
  <si>
    <t>PVC, HDPE/MDPE, GRP, AC, Concrete and PCCP now have separate selectable diameter lists. Unsupported retained diameters are blocked by the existing material/diameter validity guard.</t>
  </si>
  <si>
    <t>Dashboard B10 / Calc B158</t>
  </si>
  <si>
    <t>No life formula has been changed.</t>
  </si>
  <si>
    <t>Source maintenance</t>
  </si>
  <si>
    <t>PVC longevity and PPI HDPE references updated to direct current documents; material diameter-scope references added.</t>
  </si>
  <si>
    <t>UPDATED</t>
  </si>
  <si>
    <t>User Guide source register</t>
  </si>
  <si>
    <t>Numeric screening-life factors remain transparent model-policy assumptions.</t>
  </si>
  <si>
    <t>Re-test every new non-metallic selectable diameter, stale material transitions, Metric/Imperial canonicalization and invalid out-of-scope pasted diameters.</t>
  </si>
  <si>
    <t>v17.67</t>
  </si>
  <si>
    <t>Non-metallic diameter scopes made material-specific and standards-bounded; no engineering life equations changed.</t>
  </si>
  <si>
    <t>v17.68 DIAMETER SELECTOR MATRIX FIX</t>
  </si>
  <si>
    <t>The first v17.67 material-specific diameter selector used an excessively long nested-IF formula and evaluated as #NAME! in the workbook engine.</t>
  </si>
  <si>
    <t>Calc AO2:AO40</t>
  </si>
  <si>
    <t>Caught immediately by the new material-scope regression before release.</t>
  </si>
  <si>
    <t>A compact contiguous BB:BM material/diameter matrix is now selected with INDEX/MATCH; Acoustic retains its dedicated DI/GCI/Carbon Steel lists.</t>
  </si>
  <si>
    <t>Calc BB:BM / AO2:AO40</t>
  </si>
  <si>
    <t>No engineering life formula changed.</t>
  </si>
  <si>
    <t>Re-run every selectable and out-of-scope non-metallic diameter, all metallic diameter lists, material-change stale values, Imperial labels and global formula-error scan.</t>
  </si>
  <si>
    <t>v17.68</t>
  </si>
  <si>
    <t>Material-specific diameter selector rewritten as compact INDEX/MATCH matrix after v17.67 formula-length defect was detected in QA.</t>
  </si>
  <si>
    <t>v17.69 FINAL RELEASE-CANDIDATE QA SUMMARY</t>
  </si>
  <si>
    <t>Engineering Best-Practice coverage</t>
  </si>
  <si>
    <t>418 released material/class/diameter combinations</t>
  </si>
  <si>
    <t>All released metallic and non-metallic selections return controlled finite outputs with valid routing.</t>
  </si>
  <si>
    <t>This is 100% coverage of the workbook's discrete released selection combinations, not a claim that every continuous real-world numerical input can be exhaustively enumerated.</t>
  </si>
  <si>
    <t>Direct Wall/NDT coverage</t>
  </si>
  <si>
    <t>305 metallic combinations × 3 wall states = 915 scenarios</t>
  </si>
  <si>
    <t>Critical wall remains independent of measured wall; lower wall never increases life; below-critical wall is RED.</t>
  </si>
  <si>
    <t>Direct Wall remains unavailable for non-metallic materials in this release.</t>
  </si>
  <si>
    <t>Measured Acoustic coverage</t>
  </si>
  <si>
    <t>251 released class/diameter reference combinations</t>
  </si>
  <si>
    <t>Healthy reference identity, reduced-velocity deterioration response, critical-wall relationship, velocity ceiling and route gating checked.</t>
  </si>
  <si>
    <t>Released only for ductile iron, grey cast iron and carbon steel. Copper is intentionally excluded.</t>
  </si>
  <si>
    <t>Invalid-input robustness</t>
  </si>
  <si>
    <t>Date/year/length/pressure/surge/rating/consequence/burst/history/evidence/category edge cases</t>
  </si>
  <si>
    <t>Invalid entries are blocked and live spreadsheet-error scans return zero formula errors.</t>
  </si>
  <si>
    <t>Numeric zero is distinguished from blank/missing data in failure history.</t>
  </si>
  <si>
    <t>Units / graph / priority</t>
  </si>
  <si>
    <t>Metric/Imperial canonicalization, current-vs-what-if identity, graph/main-engine equality and consequence-priority behaviour</t>
  </si>
  <si>
    <t>Representative route tests and complete diameter canonicalization checks passed.</t>
  </si>
  <si>
    <t>Consequence changes intervention priority, not physical remaining-life calculation.</t>
  </si>
  <si>
    <t>Non-metallic governance</t>
  </si>
  <si>
    <t>PVC/uPVC, HDPE/MDPE, GRP, AC, Concrete and PCCP</t>
  </si>
  <si>
    <t>Engineering Best-Practice remains available; direct metallic evidence routes remain blocked. Diameter scopes are material-specific and screening-life wording is explicit.</t>
  </si>
  <si>
    <t>Non-metallic outputs are screening estimates requiring material-specific evidence for high-value decisions.</t>
  </si>
  <si>
    <t>Formula integrity</t>
  </si>
  <si>
    <t>Workbook-wide formula/error scan</t>
  </si>
  <si>
    <t>No live #REF!, #DIV/0!, #VALUE!, #NAME?, #N/A, #NUM!, #NULL!, _xlfn or LONGTEXT remnants found in the final QA state.</t>
  </si>
  <si>
    <t>A native desktop Excel open/save/recalculate smoke test remains sensible before external issue.</t>
  </si>
  <si>
    <t>v17.69</t>
  </si>
  <si>
    <t>10-Sep-2026</t>
  </si>
  <si>
    <t>Release-candidate close-out: acoustic scope wording corrected, final QA summary added, Audit &amp; Validation reconciled to completed regression evidence.</t>
  </si>
  <si>
    <t>v17.70 FINAL RELEASE</t>
  </si>
  <si>
    <t>All Audit &amp; Validation checks from the final QA programme are reconciled to PASS; no live formula errors or unsupported-function remnants remain in the release state.</t>
  </si>
  <si>
    <t>Discrete selection coverage</t>
  </si>
  <si>
    <t>418 Engineering Best-Practice combinations; 305 Direct Wall/NDT combinations; 251 released Acoustic combinations.</t>
  </si>
  <si>
    <t>100% of released discrete material/class/diameter selections tested.</t>
  </si>
  <si>
    <t>Boundary / robustness coverage</t>
  </si>
  <si>
    <t>Direct Wall 915 threshold-state scenarios; categorical, invalid-input, failure-history, graph, unit, material-transition, non-metal diameter-scope and randomized edge tests completed.</t>
  </si>
  <si>
    <t>Continuous real-world inputs cannot literally be exhaustively enumerated; the released input space has been stress-tested at boundaries, extremes and representative/random valid/invalid values.</t>
  </si>
  <si>
    <t>v17.70</t>
  </si>
  <si>
    <t>Final release close-out. User Guide current-route wording corrected; historical PENDING audit entries reconciled; release example reset to a valid Engineering Best-Practice case.</t>
  </si>
  <si>
    <t>v17.72 DEPENDENT DROPDOWN REPAIR</t>
  </si>
  <si>
    <t>The v17.70 final workbook could open without a visible Pipe type dropdown. Review also confirmed Pipe class did not have a dependable active list rule.</t>
  </si>
  <si>
    <t>Dashboard B8:B10</t>
  </si>
  <si>
    <t>User-reported final-release usability defect.</t>
  </si>
  <si>
    <t>Pipe type, Pipe class and Pipe diameter now use same-sheet dynamic helper ranges, avoiding cross-sheet validation behaviour that can fail in desktop Excel. The intended assessment-method/material/unit dependencies are preserved.</t>
  </si>
  <si>
    <t>Dashboard X:Z helpers + B8:B10 data validation</t>
  </si>
  <si>
    <t>No engineering formula, life factor, velocity relationship or threshold changed.</t>
  </si>
  <si>
    <t>Verification</t>
  </si>
  <si>
    <t>Exported file was re-imported and all three cells retained explicit LIST rules with in-cell dropdowns. Pipe-type helper returned 12 EBP, 6 Direct Wall/NDT and 3 Acoustic materials exactly as intended.</t>
  </si>
  <si>
    <t>Final regression</t>
  </si>
  <si>
    <t>Class/diameter helpers and global formula-error scan also checked.</t>
  </si>
  <si>
    <t>v17.72</t>
  </si>
  <si>
    <t>Final release usability correction: dependent Dashboard dropdowns repaired; engineering engine unchanged.</t>
  </si>
  <si>
    <t>v17.73 CAST-IRON PIPE-CATEGORY LIFE CORRECTION</t>
  </si>
  <si>
    <t>Grey Cast Iron Class 1–4 could return identical Engineering Best-Practice life when the Structural condition input was manually set, because the manual structural factor replaced the class/reference-wall retention factor.</t>
  </si>
  <si>
    <t>Calc Engine L34</t>
  </si>
  <si>
    <t>User-reported release defect.</t>
  </si>
  <si>
    <t>Manual structural condition is now applied in addition to the class/reference-wall retention effect. Auto structural logic is unchanged because it already includes that effect.</t>
  </si>
  <si>
    <t>Metallic Engineering Best-Practice route</t>
  </si>
  <si>
    <t>Direct Wall/NDT and Acoustic route formulas are unchanged.</t>
  </si>
  <si>
    <t>A pipe older than the nominal Engineering Best-Practice planning horizon can still show 0 years for every class. This is intentional: class alone is not accepted as evidence to extend an aged pipe beyond the screening horizon.</t>
  </si>
  <si>
    <t>User Guide B48 / Dashboard C9</t>
  </si>
  <si>
    <t>Use Direct Wall/NDT or suitable material-specific evidence for justified extension.</t>
  </si>
  <si>
    <t>GCI classes checked across structural settings and representative diameters; route isolation and global formula-error scan repeated.</t>
  </si>
  <si>
    <t>v17.73</t>
  </si>
  <si>
    <t>Pipe-category/class effect preserved in metallic Engineering Best-Practice manual-structural route.</t>
  </si>
  <si>
    <t>v17.73 FINAL CLOSE-OUT</t>
  </si>
  <si>
    <t>Pipe-category/class effect corrected in metallic Engineering Best-Practice manual-structural route; all targeted category regressions completed.</t>
  </si>
  <si>
    <t>Important interpretation</t>
  </si>
  <si>
    <t>For a metallic pipe still within the EBP planning horizon, selected class/reference wall can change the remaining-life result. After the nominal planning horizon is exhausted, EBP remains at 0 years regardless of class until condition evidence supports extension.</t>
  </si>
  <si>
    <t>GOVERNANCE</t>
  </si>
  <si>
    <t>User Guide B47:B48 / Dashboard C9</t>
  </si>
  <si>
    <t>Final release after GCI pipe-category/class regression and route-isolation checks.</t>
  </si>
  <si>
    <t>v17.74 DIRECT WALL STRUCTURAL-RESERVE DISPLAY</t>
  </si>
  <si>
    <t>Dashboard addition</t>
  </si>
  <si>
    <t>When Direct Wall/NDT is active and a valid original/reference wall exists, the main condition finding now displays the measured structural wall reserve as a percentage together with its GREEN/AMBER/RED condition band.</t>
  </si>
  <si>
    <t>Dashboard D7 / Calc Engine B130 and B93</t>
  </si>
  <si>
    <t>The percentage explains why two thicknesses may share a capped life range but have different condition colours.</t>
  </si>
  <si>
    <t>Structural wall reserve is the measured reserve between the planning-critical wall and the selected original/reference wall. It is a local condition indicator, not remaining-life percentage and not probability of failure.</t>
  </si>
  <si>
    <t>User Guide B467</t>
  </si>
  <si>
    <t>The display is suppressed where no valid original/reference wall exists.</t>
  </si>
  <si>
    <t>v17.74</t>
  </si>
  <si>
    <t>Added Direct Wall structural-reserve percentage to the main condition finding; engineering calculations, thresholds and life outputs are unchanged.</t>
  </si>
  <si>
    <t>v17.75 PROTECTED USER RELEASE</t>
  </si>
  <si>
    <t>Editable areas</t>
  </si>
  <si>
    <t>Historical v17.75 entry rule was B2:B27. Current rule: B2:B24, B26:B27 and D2:G2 are editable. B25 is calculated, locked and hidden as a formula.</t>
  </si>
  <si>
    <t>Current editable ranges: B2:B24, B26:B27, D2:G2</t>
  </si>
  <si>
    <t>All other cells remain locked with the controlled release password.</t>
  </si>
  <si>
    <t>Visible worksheets</t>
  </si>
  <si>
    <t>Only Dashboard, Failure Curve and User Guide are visible in the normal Excel interface. All nine calculation, assumption, source and QA worksheets are very hidden.</t>
  </si>
  <si>
    <t>Nine internal worksheets hidden</t>
  </si>
  <si>
    <t>Hidden worksheets and their formulas remain present and continue to calculate normally.</t>
  </si>
  <si>
    <t>Replaced the two remaining unsupported LONGTEXT formula calls with standard Excel text concatenation.</t>
  </si>
  <si>
    <t>Dashboard C10 and Calc Engine B89</t>
  </si>
  <si>
    <t>Removes possible #NAME? displays after Excel recalculation; wording and engineering logic are unchanged.</t>
  </si>
  <si>
    <t>v17.75</t>
  </si>
  <si>
    <t>Created password-protected user release with requested editable cells and only three visible worksheets.</t>
  </si>
  <si>
    <t>v17.76</t>
  </si>
  <si>
    <t>Autofitted all rows on Dashboard, Failure Curve and User Guide, then expanded Dashboard merged-output rows because Excel does not reliably autofit merged cells.</t>
  </si>
  <si>
    <t>LAYOUT CORRECTION</t>
  </si>
  <si>
    <t>Dashboard row formatting remains available while protected; all editable ranges and hidden-sheet settings are retained.</t>
  </si>
  <si>
    <t>v17.77</t>
  </si>
  <si>
    <t>Enabled row-height formatting on every worksheet while protection remains active.</t>
  </si>
  <si>
    <t>PROTECTION PERMISSION</t>
  </si>
  <si>
    <t>Cell contents and formulas remain protected; Dashboard editable ranges and hidden worksheets are unchanged.</t>
  </si>
  <si>
    <t>v17.79 revision history</t>
  </si>
  <si>
    <t>v17.79 corrections: continuous Direct Wall and Acoustic life horizons; pressure-specific acoustic what-if and graph reserve; graph RAG aligned with Dashboard; dynamic graph units; date guard strengthened; failure history independent of B25, with B25 protected; priority message made visible; guidance reconciled.</t>
  </si>
  <si>
    <t>Protection and entry</t>
  </si>
  <si>
    <t>B2:B24, B26:B27 and D2:G2 remain editable. B25 is a locked calculated cell. Formula contents are hidden under protection throughout the workbook. Row-height adjustment is allowed on every sheet. Only Dashboard, Failure Curve and User Guide are visible.</t>
  </si>
  <si>
    <t>Unit switching</t>
  </si>
  <si>
    <t>Changing the unit selection does not convert numbers already entered. Select units first, or convert/re-enter all affected measurements and reselect diameter after switching.</t>
  </si>
  <si>
    <t>Verification scope</t>
  </si>
  <si>
    <t>Current review scope covers formula integrity, released selections, boundary and adverse-factor tests, failure-rate thresholds, graph agreement, units and protection. These are tests of the stated screening model, not field calibration or a guarantee of physical pipe life.</t>
  </si>
  <si>
    <t>v17.80 deep model review</t>
  </si>
  <si>
    <t>Corrected a low-pressure interaction that could reward worse burst history. The failure-history retention always applies; its sensitivity adder acts only at or above the 50 m peak-head reference. Current, what-if and curve formulas use the same rule.</t>
  </si>
  <si>
    <t>Life-range limit</t>
  </si>
  <si>
    <t>Direct Wall central and upper life cannot exceed the smaller of measured reserve years and the larger of chronological remaining life or the 25-year review horizon. The lower bound still controls life-based RAG.</t>
  </si>
  <si>
    <t>History and calculated fields</t>
  </si>
  <si>
    <t>A supplied history period must be numeric and non-negative, even when burst count is blank. Positive bursts require a positive period. Missing count or period is insufficient history, not a verified Nil record. B25 only displays the calculated rate; it does not calculate pipe age.</t>
  </si>
  <si>
    <t>Assumptions and interpretation</t>
  </si>
  <si>
    <t>Nominal lives, deterioration rates, condition factors, the 25-year review horizon and RAG limits remain screening-policy assumptions. They require engineering review and local calibration. Equal rounded life ranges can have different Direct Wall reserve colours because reserve and life are separate indicators.</t>
  </si>
  <si>
    <t>Current protection</t>
  </si>
  <si>
    <t>Editable: Dashboard B2:B24, B26:B27 and D2:G2. B25 and all other formulas are locked; formula contents are hidden while protected. All sheets allow row-height adjustment. Visible tabs: Dashboard, Failure Curve and User Guide.</t>
  </si>
  <si>
    <t>Verification limits</t>
  </si>
  <si>
    <t>Automated workbook checks verify implemented rules and selected boundaries. They do not establish field accuracy, validate every possible numeric input, or certify compliance with external design standards. Complete the usual Microsoft Excel acceptance check before release.</t>
  </si>
  <si>
    <t>v17.81 graph interpretation</t>
  </si>
  <si>
    <t>Expanded the Failure Curve page with explanations of axes, central life versus the Dashboard range, the relative index, RAG overrides, minimum service pressure, fixed pressure range, flat sections and invalid inputs. The User Guide uses the same interpretation.</t>
  </si>
  <si>
    <t>Graph scope</t>
  </si>
  <si>
    <t>Both graphs cover operating pressures equivalent to 10–110 m head, displayed in the selected units. Only operating pressure varies across the points; entered surge and other asset inputs remain fixed. Use the Dashboard what-if input for pressures outside the displayed range.</t>
  </si>
  <si>
    <t>Release review</t>
  </si>
  <si>
    <t>Rechecked available method/material/class/diameter selections, adverse-factor interactions, units and input guards. Graph comparisons cover metallic and non-metallic routes, both unit systems and continuous/intermittent supply, including older pipes. Desktop Microsoft Excel acceptance and local engineering calibration remain separate release steps.</t>
  </si>
  <si>
    <t>CALCULATION</t>
  </si>
  <si>
    <t>VALUE</t>
  </si>
  <si>
    <t>UNITS / NOTES</t>
  </si>
  <si>
    <t>HELPER</t>
  </si>
  <si>
    <t>NON-METALLIC / STRUCTURAL ROUTE</t>
  </si>
  <si>
    <t>METALLIC PLANNING-LIFE ROUTE</t>
  </si>
  <si>
    <t>Rehabilitation or replacement planning required now. Confirm condition using direct evidence where practicable, assess operational risk, and develop the intervention, budget and implementation programme. Continued operation should require engineering justification and appropriate monitoring.</t>
  </si>
  <si>
    <t>Ductile iron</t>
  </si>
  <si>
    <t>Carbon steel</t>
  </si>
  <si>
    <t>Galvanized iron</t>
  </si>
  <si>
    <t>Unknown metallic</t>
  </si>
  <si>
    <t>PVC / uPVC</t>
  </si>
  <si>
    <t>HDPE / MDPE</t>
  </si>
  <si>
    <t>GRP / Fiberglass</t>
  </si>
  <si>
    <t>Concrete</t>
  </si>
  <si>
    <t>PCCP</t>
  </si>
  <si>
    <t>All assessment materials</t>
  </si>
  <si>
    <t>Metallic / Direct Wall</t>
  </si>
  <si>
    <t>Acoustic reference materials</t>
  </si>
  <si>
    <t>Material/reference diameter dropdown — display</t>
  </si>
  <si>
    <t>Ductile iron sizes mm</t>
  </si>
  <si>
    <t>Grey cast iron sizes mm</t>
  </si>
  <si>
    <t>Carbon steel sizes mm</t>
  </si>
  <si>
    <t>Copper sizes mm</t>
  </si>
  <si>
    <t>Galvanized iron sizes mm</t>
  </si>
  <si>
    <t>Generic planning sizes mm</t>
  </si>
  <si>
    <t>Ductile acoustic calibrated sizes mm</t>
  </si>
  <si>
    <t>Grey CI acoustic calibrated sizes mm</t>
  </si>
  <si>
    <t>Canonical dropdown diameter mm</t>
  </si>
  <si>
    <t>Current material class list</t>
  </si>
  <si>
    <t>PVC / uPVC selectable mm</t>
  </si>
  <si>
    <t>HDPE / MDPE selectable mm</t>
  </si>
  <si>
    <t>GRP / Fiberglass selectable mm</t>
  </si>
  <si>
    <t>Asbestos cement selectable mm</t>
  </si>
  <si>
    <t>Concrete selectable mm</t>
  </si>
  <si>
    <t>PCCP selectable mm</t>
  </si>
  <si>
    <t>year</t>
  </si>
  <si>
    <t>Allowable stress MPa</t>
  </si>
  <si>
    <t>Material family</t>
  </si>
  <si>
    <t>Base planning life</t>
  </si>
  <si>
    <t>Immediate engineering review and accelerated rehabilitation or replacement planning required. Confirm condition and operational risk, implement documented contingency arrangements, and determine the earliest practicable intervention because consequence of failure is critical.</t>
  </si>
  <si>
    <t>Class K9</t>
  </si>
  <si>
    <t>Class 1</t>
  </si>
  <si>
    <t>Standard</t>
  </si>
  <si>
    <t>Base corrosion mm/y</t>
  </si>
  <si>
    <t>Nominal design life</t>
  </si>
  <si>
    <t>Soil deterioration factor</t>
  </si>
  <si>
    <t>Priority detailed condition assessment required. Confirm direct condition evidence, operational risk and contingency arrangements, and develop the rehabilitation or renewal intervention and budget for near-term delivery because consequence of failure is high.</t>
  </si>
  <si>
    <t>Class K12</t>
  </si>
  <si>
    <t>Class 2</t>
  </si>
  <si>
    <t>Pipe category</t>
  </si>
  <si>
    <t>Fallback wall ratio</t>
  </si>
  <si>
    <t>Legacy pressure-age factor current (diagnostic only)</t>
  </si>
  <si>
    <t>Urgent detailed condition assessment and intervention planning required. Verify condition evidence, operational risk and contingency arrangements and develop a funded near-term rehabilitation or renewal programme because consequence of failure is critical.</t>
  </si>
  <si>
    <t>Class K14</t>
  </si>
  <si>
    <t>Class 3</t>
  </si>
  <si>
    <t>Unknown - Worst Case</t>
  </si>
  <si>
    <t>mm</t>
  </si>
  <si>
    <t>Pressure ratio current</t>
  </si>
  <si>
    <t>Legacy pressure-age factor what-if (diagnostic only)</t>
  </si>
  <si>
    <t>Continue in service only with verified condition evidence, enhanced monitoring and documented contingency arrangements. Undertake detailed condition assessment where direct evidence is insufficient and include the asset in near-term rehabilitation or renewal planning because consequence of failure is critical.</t>
  </si>
  <si>
    <t>Graph peak head (m)</t>
  </si>
  <si>
    <t>Graph pressure-required wall</t>
  </si>
  <si>
    <t>Graph critical planning wall</t>
  </si>
  <si>
    <t>Graph measured reserve ratio</t>
  </si>
  <si>
    <t>Graph evidence horizon</t>
  </si>
  <si>
    <t>Graph acoustic reserve</t>
  </si>
  <si>
    <t>Graph retained condition</t>
  </si>
  <si>
    <t>Graph pressure sensitivity</t>
  </si>
  <si>
    <t>Measured velocity</t>
  </si>
  <si>
    <t>m/ms</t>
  </si>
  <si>
    <t>Soil multiplier</t>
  </si>
  <si>
    <t>Pressure ratio what-if</t>
  </si>
  <si>
    <t>Measured-condition diagnostic factor</t>
  </si>
  <si>
    <t>Measured velocity controls the metallic condition route. The acoustic equivalent wall is a section-average stiffness/wall indicator, not a direct minimum-wall measurement. Remaining life is scaled to the structural reserve between the calibration wall and the model planning-critical wall.</t>
  </si>
  <si>
    <t>Fluid-only speed</t>
  </si>
  <si>
    <t>Current pressure</t>
  </si>
  <si>
    <t>m</t>
  </si>
  <si>
    <t>INPUT CHECK REQUIRED — Internal diameter is outside the model screening range. Select a supported Metric reference size or its corresponding Imperial dropdown label. No condition/life conclusion should be used until the diameter is corrected.</t>
  </si>
  <si>
    <t>What-if pressure</t>
  </si>
  <si>
    <t>Soil retention factor</t>
  </si>
  <si>
    <t>INPUT CHECK REQUIRED — Survey date or Installation Year is invalid. Survey date must be a valid Excel date; Installation Year must be a whole year from 1800 through the survey year.</t>
  </si>
  <si>
    <t>Legacy pressure retention current (not used)</t>
  </si>
  <si>
    <t>1-5</t>
  </si>
  <si>
    <t>Retained condition current</t>
  </si>
  <si>
    <t>Legacy pressure retention what-if (not used)</t>
  </si>
  <si>
    <t>Material / class / diameter input message</t>
  </si>
  <si>
    <t>Surge head</t>
  </si>
  <si>
    <t>Retained condition what-if</t>
  </si>
  <si>
    <t>Condition retention factor</t>
  </si>
  <si>
    <t>Supplementary input warning</t>
  </si>
  <si>
    <t>Remaining life current</t>
  </si>
  <si>
    <t>Remaining planning life current</t>
  </si>
  <si>
    <t>Class + diameter warning</t>
  </si>
  <si>
    <t>INPUT CHECK REQUIRED — Pipe Class and Pipe Diameter are not valid for the selected material / assessment method. Please reselect both from the current drop-downs.</t>
  </si>
  <si>
    <t>Remaining life what-if</t>
  </si>
  <si>
    <t>Remaining planning life what-if</t>
  </si>
  <si>
    <t>Class warning</t>
  </si>
  <si>
    <t>INPUT CHECK REQUIRED — Pipe Class is not valid for the selected material. Please reselect Pipe Class from the current drop-down.</t>
  </si>
  <si>
    <t>Pipe age</t>
  </si>
  <si>
    <t>Life impact</t>
  </si>
  <si>
    <t>Diameter warning</t>
  </si>
  <si>
    <t>INPUT CHECK REQUIRED — Pipe Diameter is not valid for the selected material / assessment method. Please reselect Pipe Diameter from the current drop-down.</t>
  </si>
  <si>
    <t>Reference / nominal wall</t>
  </si>
  <si>
    <t>Risk current</t>
  </si>
  <si>
    <t>Engineering adjustment current</t>
  </si>
  <si>
    <t>Selection warning</t>
  </si>
  <si>
    <t>INPUT CHECK REQUIRED — Correct the material/class/diameter selection before using the assessment.</t>
  </si>
  <si>
    <t>Reference healthy velocity</t>
  </si>
  <si>
    <t>Risk what-if</t>
  </si>
  <si>
    <t>Action — not assessed</t>
  </si>
  <si>
    <t>NOT ASSESSED — Correct required inputs before using the planning recommendation.</t>
  </si>
  <si>
    <t>Estimated remaining wall</t>
  </si>
  <si>
    <t>Installation / joint retention</t>
  </si>
  <si>
    <t>Action — nonmetal very high</t>
  </si>
  <si>
    <t>VERY HIGH PRIORITY — IMMEDIATE MATERIAL-SPECIFIC ENGINEERING REVIEW: Confirm actual condition using an appropriate method for the selected pipe material, review pressure/surge, installation, failure history and consequence, and establish intervention and contingency actions.</t>
  </si>
  <si>
    <t>Wall used in remaining-life calculation</t>
  </si>
  <si>
    <t>Combined non-age condition retention</t>
  </si>
  <si>
    <t>Action — nonmetal high</t>
  </si>
  <si>
    <t>HIGH PRIORITY — MATERIAL-SPECIFIC CONDITION ASSESSMENT AND NEAR-TERM PLANNING: Do not treat the screening life as a physical failure date. Obtain suitable material-specific evidence and establish the appropriate monitoring, rehabilitation or renewal plan.</t>
  </si>
  <si>
    <t>Estimated wall loss</t>
  </si>
  <si>
    <t>Reference/original wall thickness</t>
  </si>
  <si>
    <t>Action — nonmetal medium</t>
  </si>
  <si>
    <t>MEDIUM PRIORITY — PROGRAMMED MATERIAL-SPECIFIC CONDITION ASSESSMENT: Maintain monitoring and calibrate the screening assumptions with utility/manufacturer/inspection evidence before major investment decisions.</t>
  </si>
  <si>
    <t>Deterioration rate</t>
  </si>
  <si>
    <t>Wall thickness basis</t>
  </si>
  <si>
    <t>Action — nonmetal low</t>
  </si>
  <si>
    <t>LOW PRIORITY — CONTINUE IN SERVICE WITH MONITORING: Maintain failure, pressure and condition records; escalate if deterioration evidence, failure history or consequence changes.</t>
  </si>
  <si>
    <t>Age strength factor</t>
  </si>
  <si>
    <t>Transient/cycling retention</t>
  </si>
  <si>
    <t>Action — metallic very high</t>
  </si>
  <si>
    <t>VERY HIGH PRIORITY — IMMEDIATE ENGINEERING REVIEW AND INTERVENTION PLANNING: Confirm condition, operational risk and contingency arrangements and determine whether rehabilitation or replacement should be accelerated.</t>
  </si>
  <si>
    <t>Wall-loss strength factor</t>
  </si>
  <si>
    <t>Transient/cycling sensitivity</t>
  </si>
  <si>
    <t>Action — metallic high</t>
  </si>
  <si>
    <t>HIGH PRIORITY — ENGINEERING REVIEW AND NEAR-TERM PLANNING: Confirm direct condition evidence where practicable, review operational consequence and failure history, and establish the appropriate intervention, monitoring and contingency plan.</t>
  </si>
  <si>
    <t>Effective strength retention</t>
  </si>
  <si>
    <t>Engineering Best-Practice pressure-strength screening factor. Direct Wall/NDT and Measured Acoustic Velocity use 1.00 here because measured wall/stiffness already represents condition; this prevents a moving/circular critical wall. Engineering Auto is bounded no worse than manual Very poor (0.55).</t>
  </si>
  <si>
    <t>Pressure vulnerability coefficient</t>
  </si>
  <si>
    <t>Action — metallic medium</t>
  </si>
  <si>
    <t>MEDIUM PRIORITY — PROGRAMMED CONDITION ASSESSMENT: Confirm deterioration evidence, maintain monitoring and define the rehabilitation strategy and timing within the asset-management programme.</t>
  </si>
  <si>
    <t>Design head current incl. surge</t>
  </si>
  <si>
    <t>Pressure modifier current</t>
  </si>
  <si>
    <t>Action — metallic low</t>
  </si>
  <si>
    <t>LOW PRIORITY — CONTINUE IN SERVICE: Maintain routine monitoring and long-term renewal planning; escalate if condition evidence, failure history or consequence changes.</t>
  </si>
  <si>
    <t>Design head what-if incl. surge</t>
  </si>
  <si>
    <t>Pressure modifier what-if</t>
  </si>
  <si>
    <t>Pressure-required wall current</t>
  </si>
  <si>
    <t>Base non-pressure retention</t>
  </si>
  <si>
    <t>Calculated wall-to-pressure reserve life — current (diagnostic)</t>
  </si>
  <si>
    <t>years — secondary structural screening, not planning life</t>
  </si>
  <si>
    <t>Relative vulnerability index current</t>
  </si>
  <si>
    <t>Pressure-required wall what-if</t>
  </si>
  <si>
    <t>Relative vulnerability index what-if</t>
  </si>
  <si>
    <t>Calculated wall-to-pressure reserve life — what-if (diagnostic)</t>
  </si>
  <si>
    <t>Calculated pressure effect on wall-reserve life (diagnostic)</t>
  </si>
  <si>
    <t>Burst-history pressure sensitivity</t>
  </si>
  <si>
    <t>Assessment basis</t>
  </si>
  <si>
    <t>Failure rate (bursts/100 km/year canonical)</t>
  </si>
  <si>
    <t>Current structural utilization</t>
  </si>
  <si>
    <t>Combined base retention incl. burst history</t>
  </si>
  <si>
    <t>What-if structural utilization</t>
  </si>
  <si>
    <t>Manual structural-grade retention</t>
  </si>
  <si>
    <t>Measured route retention / reserve diagnostic</t>
  </si>
  <si>
    <t>m head</t>
  </si>
  <si>
    <t>Effective structural retention used in life</t>
  </si>
  <si>
    <t>Selected evidence / chronological horizon</t>
  </si>
  <si>
    <t>What-if acoustic structural reserve</t>
  </si>
  <si>
    <t>identification</t>
  </si>
  <si>
    <t>What-if combined retained condition</t>
  </si>
  <si>
    <t>date</t>
  </si>
  <si>
    <t>What-if pressure sensitivity</t>
  </si>
  <si>
    <t>Length surveyed</t>
  </si>
  <si>
    <t>m (internal calculation basis)</t>
  </si>
  <si>
    <t>count</t>
  </si>
  <si>
    <t>History period</t>
  </si>
  <si>
    <t>years</t>
  </si>
  <si>
    <t>bursts/100 km/year (canonical internal basis)</t>
  </si>
  <si>
    <t>Auto failure-history class</t>
  </si>
  <si>
    <t>classification from canonical bursts/100 km/year</t>
  </si>
  <si>
    <t>Effective failure-history class</t>
  </si>
  <si>
    <t>Auto result or engineer override</t>
  </si>
  <si>
    <t>Velocity ratio vs healthy reference</t>
  </si>
  <si>
    <t>measured / healthy reference</t>
  </si>
  <si>
    <t>Velocity condition interpretation</t>
  </si>
  <si>
    <t>screening interpretation</t>
  </si>
  <si>
    <t>Velocity-derived wall ratio</t>
  </si>
  <si>
    <t>estimated wall / reference wall</t>
  </si>
  <si>
    <t>Velocity input status</t>
  </si>
  <si>
    <t>validity / route</t>
  </si>
  <si>
    <t>Selected diameter healthy velocity minimum</t>
  </si>
  <si>
    <t>Selected diameter healthy velocity maximum</t>
  </si>
  <si>
    <t>Selected diameter class-envelope width</t>
  </si>
  <si>
    <t>Outside-envelope tolerance</t>
  </si>
  <si>
    <t>Measured velocity gap to selected envelope</t>
  </si>
  <si>
    <t>Velocity / pipe-identity status</t>
  </si>
  <si>
    <t>GREEN / AMBER / RED / NOT ASSESSED</t>
  </si>
  <si>
    <t>Closest overall reference difference</t>
  </si>
  <si>
    <t>Closest overall reference row</t>
  </si>
  <si>
    <t>row</t>
  </si>
  <si>
    <t>Closest overall material</t>
  </si>
  <si>
    <t>reference</t>
  </si>
  <si>
    <t>Closest overall category/class</t>
  </si>
  <si>
    <t>Closest overall diameter</t>
  </si>
  <si>
    <t>Closest overall healthy velocity</t>
  </si>
  <si>
    <t>Velocity / identity alert</t>
  </si>
  <si>
    <t>user-facing advice</t>
  </si>
  <si>
    <t>Closest same-material difference</t>
  </si>
  <si>
    <t>Closest same-material row</t>
  </si>
  <si>
    <t>Closest same-material class</t>
  </si>
  <si>
    <t>Closest same-material diameter</t>
  </si>
  <si>
    <t>Closest same-material healthy velocity</t>
  </si>
  <si>
    <t>Velocity advice summary</t>
  </si>
  <si>
    <t>engineer action</t>
  </si>
  <si>
    <t>Lower bracketing healthy velocity</t>
  </si>
  <si>
    <t>Upper bracketing healthy velocity</t>
  </si>
  <si>
    <t>Lower bracketing wall</t>
  </si>
  <si>
    <t>Upper bracketing wall</t>
  </si>
  <si>
    <t>Velocity-equivalent wall ratio</t>
  </si>
  <si>
    <t>estimated/reference</t>
  </si>
  <si>
    <t>Velocity controls condition?</t>
  </si>
  <si>
    <t>YES / NO</t>
  </si>
  <si>
    <t>Velocity-based structural retention</t>
  </si>
  <si>
    <t>0-1</t>
  </si>
  <si>
    <t>Condition source used for life</t>
  </si>
  <si>
    <t>source</t>
  </si>
  <si>
    <t>advice</t>
  </si>
  <si>
    <t>Condition evidence route</t>
  </si>
  <si>
    <t>Direct wall / Velocity / Theory</t>
  </si>
  <si>
    <t>Condition evidence caveat</t>
  </si>
  <si>
    <t>User-facing caveat</t>
  </si>
  <si>
    <t>Local / average section / calculated engineering assessment</t>
  </si>
  <si>
    <t>High / Medium / Low</t>
  </si>
  <si>
    <t>0-1+ ratio</t>
  </si>
  <si>
    <t>Direct wall structural reserve indicator</t>
  </si>
  <si>
    <t>Direct wall plausibility status</t>
  </si>
  <si>
    <t>NORMAL / VERIFY / NOT ACTIVE</t>
  </si>
  <si>
    <t>user-facing</t>
  </si>
  <si>
    <t>Direct wall pressure reserve ratio</t>
  </si>
  <si>
    <t>planning wall / required wall</t>
  </si>
  <si>
    <t>Direct wall life rule</t>
  </si>
  <si>
    <t>Where an embedded reference wall exists, the Direct Wall structural-reserve ratio is retained as a diagnostic and condition-band indicator. It is NOT multiplied into Direct Wall remaining life. Direct Wall remaining life uses the actual governing measured wall as entered, without a generic pitting deduction, down to the critical planning wall using the governing deterioration rate.</t>
  </si>
  <si>
    <t>explanation</t>
  </si>
  <si>
    <t>% of reference</t>
  </si>
  <si>
    <t>Direct wall condition band</t>
  </si>
  <si>
    <t>GREEN / AMBER / RED</t>
  </si>
  <si>
    <t>Direct wall failure message</t>
  </si>
  <si>
    <t>Direct wall condition-equivalent age</t>
  </si>
  <si>
    <t>Direct wall local failure trigger</t>
  </si>
  <si>
    <t>Direct wall evidence note</t>
  </si>
  <si>
    <t>Direct wall thickness is local evidence. The condition band and condition-equivalent age apply to the measured point unless multiple representative readings demonstrate that the condition is representative of the assessed length.</t>
  </si>
  <si>
    <t>local measurement caveat</t>
  </si>
  <si>
    <t>Primary findings status</t>
  </si>
  <si>
    <t>Primary findings message</t>
  </si>
  <si>
    <t>dynamic evidence-priority message</t>
  </si>
  <si>
    <t>Reference match count</t>
  </si>
  <si>
    <t>number of matching material/class/diameter rows</t>
  </si>
  <si>
    <t>Reference lookup status</t>
  </si>
  <si>
    <t>OK / NOT FOUND / DUPLICATE</t>
  </si>
  <si>
    <t>Reference lookup message</t>
  </si>
  <si>
    <t>Reference category used</t>
  </si>
  <si>
    <t>normalised lookup category</t>
  </si>
  <si>
    <t>Direct wall active message</t>
  </si>
  <si>
    <t>DIRECT WALL MEASUREMENT ACTIVE — The entered thickness is assumed to be the governing measured remaining wall at the inspected location, including the lowest relevant pitting point identified by the engineer. No additional generic pitting deduction is applied. A single UT/NDT reading remains local evidence and shall not be assumed to represent the full assessed pipe section. Grey Cast Iron requires particular caution because graphitization, local pitting and other deterioration may not be fully represented by a single thickness value. Where rehabilitation, renewal or post-nominal-life decisions depend on the result, obtain sufficient representative measurements and engineering review.</t>
  </si>
  <si>
    <t>Velocity active message</t>
  </si>
  <si>
    <t>MEASURED VELOCITY ACTIVE — The measured velocity is the primary condition indicator. The resulting wall thickness is an equivalent/average condition estimate across the correlated pipe length. Local pitting, isolated corrosion or individual weak sections may not be detected. Confirm pipe identity where the velocity plausibility check advises verification.</t>
  </si>
  <si>
    <t>Engineering assessment message</t>
  </si>
  <si>
    <t>ENGINEERING BEST-PRACTICE ASSESSMENT ACTIVE — No direct wall thickness or valid measured velocity is controlling the assessment. Remaining life is calculated using engineering condition factors including installation age, material, soil/environment, structural condition, joints/installation, pressure, transients and failure history. This is a calculated engineering screening assessment and should be supported by field condition measurements where major rehabilitation or investment decisions are being considered.</t>
  </si>
  <si>
    <t>Continuous / Intermittent</t>
  </si>
  <si>
    <t>Intermittent metallic internal-corrosion allowance</t>
  </si>
  <si>
    <t>1.00 continuous; 0.95 intermittent metallic; not a universal measured failure factor</t>
  </si>
  <si>
    <t>Actual service-pressure status</t>
  </si>
  <si>
    <t>OK / BELOW REQUIREMENT</t>
  </si>
  <si>
    <t>What-if service-pressure status</t>
  </si>
  <si>
    <t>Life-range uncertainty</t>
  </si>
  <si>
    <t>fraction</t>
  </si>
  <si>
    <t>Current life range lower</t>
  </si>
  <si>
    <t>Current life range upper</t>
  </si>
  <si>
    <t>What-if life range lower</t>
  </si>
  <si>
    <t>What-if life range upper</t>
  </si>
  <si>
    <t>Effective metallic cycling retention</t>
  </si>
  <si>
    <t>after intermittent minimum-severity rule</t>
  </si>
  <si>
    <t>Effective non-metallic cycling multiplier</t>
  </si>
  <si>
    <t>Intermittent assessment note</t>
  </si>
  <si>
    <t>engineering interpretation</t>
  </si>
  <si>
    <t>Acoustic calibration wall</t>
  </si>
  <si>
    <t>mm — exact single class if available; otherwise embedded material/diameter average</t>
  </si>
  <si>
    <t>Acoustic calibration speed</t>
  </si>
  <si>
    <t>m/ms — paired calibration velocity</t>
  </si>
  <si>
    <t>Acoustic equivalent wall</t>
  </si>
  <si>
    <t>mm — section-average equivalent stiffness/wall indicator</t>
  </si>
  <si>
    <t>Acoustic wall ratio</t>
  </si>
  <si>
    <t>equivalent wall / calibration wall</t>
  </si>
  <si>
    <t>Velocity physical plausibility</t>
  </si>
  <si>
    <t>VALID / INVALID / NOT ASSESSED. Acoustic input is rejected if it is non-positive, at/above the fluid-only wave speed, or below 50% of the selected material/diameter calibration velocity. The lower bound is an input-plausibility screen intended to catch unit/decimal errors, not a failure criterion.</t>
  </si>
  <si>
    <t>Critical planning wall</t>
  </si>
  <si>
    <t>mm — Direct Wall/NDT uses the maximum of pressure-required wall and material absolute minimum where no embedded nominal wall exists; when a reference wall exists, the material policy-% minimum is also applied.</t>
  </si>
  <si>
    <t>Remaining structural wall reserve</t>
  </si>
  <si>
    <t>0–1 between calibration wall and critical planning wall</t>
  </si>
  <si>
    <t>Velocity condition factor used in life</t>
  </si>
  <si>
    <t>0–1 — structural reserve factor used in metallic planning life</t>
  </si>
  <si>
    <t>Selected assessment method</t>
  </si>
  <si>
    <t>Dashboard method selector</t>
  </si>
  <si>
    <t>Direct-wall structural reserve</t>
  </si>
  <si>
    <t>0–1 diagnostic reserve between reference/calibration wall and planning-critical wall. Used for Direct Wall condition-band interpretation; not multiplied into Direct Wall remaining-life calculation.</t>
  </si>
  <si>
    <t>Direct-wall calibration wall</t>
  </si>
  <si>
    <t>mm — embedded reference/calibration wall where available. A blank value does not prevent Direct Wall/NDT life calculation from an actual measured wall; it only suppresses reference-wall percentage diagnostics.</t>
  </si>
  <si>
    <t>Post-nominal measured-evidence route active</t>
  </si>
  <si>
    <t>YES only when nominal chronological life is exhausted and credible selected measurement evidence is active</t>
  </si>
  <si>
    <t>Post-nominal measured-evidence ceiling</t>
  </si>
  <si>
    <t>Failure-history override status</t>
  </si>
  <si>
    <t>audit status</t>
  </si>
  <si>
    <t>Failure-history warning</t>
  </si>
  <si>
    <t>blank when Auto is used</t>
  </si>
  <si>
    <t>Auto structural-condition retention</t>
  </si>
  <si>
    <t>Engineering route only: existing age-strength × wall-loss-strength × soil retention; bounded to the current manual structural-retention range 0.65–1.00.</t>
  </si>
  <si>
    <t>Direct-wall measured reserve life — current</t>
  </si>
  <si>
    <t>years to model critical planning wall before 25-year review cap</t>
  </si>
  <si>
    <t>Direct-wall measured reserve life — what-if</t>
  </si>
  <si>
    <t>Direct-wall evidence horizon — current</t>
  </si>
  <si>
    <t>years — measured reserve bounded by the applicable chronological/review horizon</t>
  </si>
  <si>
    <t>Direct-wall evidence horizon — what-if</t>
  </si>
  <si>
    <t>years — what-if measured reserve bounded by the applicable chronological/review horizon</t>
  </si>
  <si>
    <t>Direct-wall evidence extension active</t>
  </si>
  <si>
    <t>YES when valid wall evidence extends planning life beyond age-only estimate</t>
  </si>
  <si>
    <t>Burst-history input status</t>
  </si>
  <si>
    <t>VALID for blank/zero bursts or a non-negative whole count with positive history period</t>
  </si>
  <si>
    <t>Core assessment input status</t>
  </si>
  <si>
    <t>Combined blocking input status</t>
  </si>
  <si>
    <t>Core input warning</t>
  </si>
  <si>
    <t>Specific blocking warning</t>
  </si>
  <si>
    <t>QA release status</t>
  </si>
  <si>
    <t>FULL QA — INDEPENDENT REVIEW FIXES APPLIED</t>
  </si>
  <si>
    <t>Dedicated input guards, selected-method evidence guard and two-sided acoustic plausibility screen live.</t>
  </si>
  <si>
    <t>Diameter input status</t>
  </si>
  <si>
    <t>Dedicated release guard — canonical internal diameter must be 25–5,000 mm.</t>
  </si>
  <si>
    <t>Installation-year input status</t>
  </si>
  <si>
    <t>Dedicated release guard — whole year 1800 through survey year.</t>
  </si>
  <si>
    <t>Selected-method evidence status</t>
  </si>
  <si>
    <t>Dedicated release guard — selected measured route must have usable evidence/calibration.</t>
  </si>
  <si>
    <t>Guard architecture note</t>
  </si>
  <si>
    <t>STATUS CELLS RESERVED</t>
  </si>
  <si>
    <t>B146:B148 are reserved validation/status cells and must not be reused for life/evidence calculations.</t>
  </si>
  <si>
    <t>What-if critical planning wall</t>
  </si>
  <si>
    <t>Direct Wall/NDT what-if critical wall using what-if pressure-required wall.</t>
  </si>
  <si>
    <t>What-if Direct-wall reserve indicator</t>
  </si>
  <si>
    <t>0–1 diagnostic reserve between reference wall and the what-if critical planning wall.</t>
  </si>
  <si>
    <t>What-if Direct-wall condition</t>
  </si>
  <si>
    <t>Direct Wall condition band under what-if pressure; mirrors current B93 logic using what-if critical wall.</t>
  </si>
  <si>
    <t>What-if headline condition</t>
  </si>
  <si>
    <t>Worst of what-if life band and, for Direct Wall/NDT, the what-if measured-reserve condition band.</t>
  </si>
  <si>
    <t>Severe failure-history retention</t>
  </si>
  <si>
    <t>Single governing Severe factor used by both Auto-derived Severe and manual Severe.</t>
  </si>
  <si>
    <t>Auto / manual Severe alignment check</t>
  </si>
  <si>
    <t>PASS when the selected Severe route uses the centralized Severe retention factor.</t>
  </si>
  <si>
    <t>Structural Auto floor alignment check</t>
  </si>
  <si>
    <t>PASS when Auto structural retention is not lower than the Very poor manual retention.</t>
  </si>
  <si>
    <t>Material / class selection validity</t>
  </si>
  <si>
    <t>VALID only when the current Pipe Class is allowed for the currently selected Pipe Material.</t>
  </si>
  <si>
    <t>Material / diameter selection validity</t>
  </si>
  <si>
    <t>VALID only when the current diameter is in the current material/method-dependent diameter list.</t>
  </si>
  <si>
    <t>Material / class / diameter selection guard</t>
  </si>
  <si>
    <t>Combined stale-selection guard. Blocks assessment until invalid retained selections are reselected.</t>
  </si>
  <si>
    <t>Categorical input status</t>
  </si>
  <si>
    <t>VALID only when unit/method/soil/structural/cycling/joints/failure-history/supply inputs match released choices.</t>
  </si>
  <si>
    <t>Consequence input status</t>
  </si>
  <si>
    <t>VALID only for whole-number consequence 1 to 5.</t>
  </si>
  <si>
    <t>Pressure-rating input status</t>
  </si>
  <si>
    <t>For non-metallic Engineering Best-Practice, a positive pipe pressure rating/class is required because the pressure-demand ratio is part of the screening equation.</t>
  </si>
  <si>
    <t>Supplementary input guard</t>
  </si>
  <si>
    <t>Combined categorical/consequence/pressure-rating guard.</t>
  </si>
  <si>
    <t>PIPE CONDITION MODEL — ASSUMPTIONS</t>
  </si>
  <si>
    <t>GLOBAL MODEL ASSUMPTIONS</t>
  </si>
  <si>
    <t>UNITS / PURPOSE</t>
  </si>
  <si>
    <t>METALLIC BASE PLANNING LIFE</t>
  </si>
  <si>
    <t>YEARS</t>
  </si>
  <si>
    <t>BASIS / NOTE</t>
  </si>
  <si>
    <t>SOURCE</t>
  </si>
  <si>
    <t>BURST / FAILURE HISTORY</t>
  </si>
  <si>
    <t>RETENTION FACTOR</t>
  </si>
  <si>
    <t>PRESSURE SENSITIVITY ADDER AT/ABOVE REFERENCE</t>
  </si>
  <si>
    <t>PLANNING INTERPRETATION</t>
  </si>
  <si>
    <t>Water bulk modulus</t>
  </si>
  <si>
    <t>GPa</t>
  </si>
  <si>
    <t>75-year average planning baseline selected for this condition-assessment tool.</t>
  </si>
  <si>
    <t>Model planning assumption</t>
  </si>
  <si>
    <t>No known burst history on assessed length</t>
  </si>
  <si>
    <t>Water density</t>
  </si>
  <si>
    <t>kg/m³</t>
  </si>
  <si>
    <t>Low isolated historic failures</t>
  </si>
  <si>
    <t>Gravity</t>
  </si>
  <si>
    <t>m/s²</t>
  </si>
  <si>
    <t>Recurring failures indicate deteriorating asset condition</t>
  </si>
  <si>
    <t>Red zone upper limit</t>
  </si>
  <si>
    <t>years — RED planning threshold / near engineering end of life</t>
  </si>
  <si>
    <t>Editable screening assumption; calibrate with local failures and installation history.</t>
  </si>
  <si>
    <t>Utility calibration required</t>
  </si>
  <si>
    <t>High/repeated failure history materially increases renewal risk</t>
  </si>
  <si>
    <t>Amber zone upper limit</t>
  </si>
  <si>
    <t>years — Amber upper limit</t>
  </si>
  <si>
    <t>Editable screening assumption; corrosion condition often governs.</t>
  </si>
  <si>
    <t>bursts/100 km/year</t>
  </si>
  <si>
    <t>Normalized rate supports automatic classification when Auto is selected; Nil / Minimal / Average / Severe remains available as an engineer override.</t>
  </si>
  <si>
    <t>Green planning marker</t>
  </si>
  <si>
    <t>75-year generic metallic fallback until material is identified.</t>
  </si>
  <si>
    <t>Auto from failure rate is default. Manual Nil / Minimal / Average / Severe selection is an engineer override and disagreement with Auto is flagged.</t>
  </si>
  <si>
    <t>Calibrate factors with utility failure database when sufficient history is available</t>
  </si>
  <si>
    <t>Wave speed measurement uncertainty</t>
  </si>
  <si>
    <t>Direction / baseline tolerance</t>
  </si>
  <si>
    <t>AUTO FAILURE-HISTORY CLASSIFICATION</t>
  </si>
  <si>
    <t>BURSTS/100 KM/YEAR</t>
  </si>
  <si>
    <t>CLASSIFICATION</t>
  </si>
  <si>
    <t>RATIONALE</t>
  </si>
  <si>
    <t>Structural pressure safety factor</t>
  </si>
  <si>
    <t>Safety factor applied after explicit steady pressure + surge head</t>
  </si>
  <si>
    <t>METALLIC SOIL DETERIORATION</t>
  </si>
  <si>
    <t>FACTOR</t>
  </si>
  <si>
    <t>NOTE</t>
  </si>
  <si>
    <t>USE</t>
  </si>
  <si>
    <t>Nil upper limit</t>
  </si>
  <si>
    <t>No recorded failures over a valid positive history period.</t>
  </si>
  <si>
    <t>Joint / weld efficiency</t>
  </si>
  <si>
    <t>Soil - Low</t>
  </si>
  <si>
    <t>Low external aggressiveness; reduces corrosion penalty but cannot extend life above normal baseline.</t>
  </si>
  <si>
    <t>Master live factor</t>
  </si>
  <si>
    <t>Minimal upper limit</t>
  </si>
  <si>
    <t>More than zero through 12.5 bursts/100 km/year.</t>
  </si>
  <si>
    <t>Pressure basis</t>
  </si>
  <si>
    <t>Hoop-stress screening</t>
  </si>
  <si>
    <t>Wall thinning raises stress for the same internal pressure</t>
  </si>
  <si>
    <t>Soil - Moderate</t>
  </si>
  <si>
    <t>Baseline external soil deterioration.</t>
  </si>
  <si>
    <t>Average upper limit</t>
  </si>
  <si>
    <t>More than 12.5 through 20 bursts/100 km/year.</t>
  </si>
  <si>
    <t>STRUCTURAL CONDITION</t>
  </si>
  <si>
    <t>SCREENING BASIS</t>
  </si>
  <si>
    <t>Soil - High</t>
  </si>
  <si>
    <t>Faster external deterioration.</t>
  </si>
  <si>
    <t>Above Average limit</t>
  </si>
  <si>
    <t>Severe boundary</t>
  </si>
  <si>
    <t>Severe applies strictly above this boundary.</t>
  </si>
  <si>
    <t>Good / confirmed</t>
  </si>
  <si>
    <t>No reduction</t>
  </si>
  <si>
    <t>Soil - Severe</t>
  </si>
  <si>
    <t>Materially faster external deterioration.</t>
  </si>
  <si>
    <t>&gt;20</t>
  </si>
  <si>
    <t>More than 20 bursts/100 km/year. Screening threshold only; utility-specific calibration is preferred.</t>
  </si>
  <si>
    <t>Moderate</t>
  </si>
  <si>
    <t>Ageing / graphitization / local-defect allowance</t>
  </si>
  <si>
    <t>Soil - Unknown Average</t>
  </si>
  <si>
    <t>Average of Low / Moderate / High / Severe.</t>
  </si>
  <si>
    <t>Poor</t>
  </si>
  <si>
    <t>Conservative deterioration allowance</t>
  </si>
  <si>
    <t>Soil - Unknown Worst Case</t>
  </si>
  <si>
    <t>Uses Severe factor.</t>
  </si>
  <si>
    <t>SEVERE FAILURE-HISTORY GRADUATION</t>
  </si>
  <si>
    <t>UNITS / USE</t>
  </si>
  <si>
    <t>Very poor</t>
  </si>
  <si>
    <t>High-risk allowance</t>
  </si>
  <si>
    <t>Reference pressure head</t>
  </si>
  <si>
    <t>Neutral pressure point for legacy diagnostic pressure factor</t>
  </si>
  <si>
    <t>Severe retention floor</t>
  </si>
  <si>
    <t>retention factor</t>
  </si>
  <si>
    <t>Minimum screening retention once failure rate reaches the upper graduation point.</t>
  </si>
  <si>
    <t>Calculated</t>
  </si>
  <si>
    <t>Engineering Best-Practice route derives retention from age/condition/soil diagnostics. Measured Acoustic uses its calibrated measured structural reserve. Direct Wall/NDT uses measured reserve life directly and does not multiply the same wall-derived reserve a second time.</t>
  </si>
  <si>
    <t>METALLIC CONDITION / INSTALLATION RETENTION</t>
  </si>
  <si>
    <t>APPLIES TO</t>
  </si>
  <si>
    <t>Severe graduation upper rate</t>
  </si>
  <si>
    <t>At or above this rate the Severe retention floor applies.</t>
  </si>
  <si>
    <t>Structural - Good / confirmed</t>
  </si>
  <si>
    <t>remaining planning life</t>
  </si>
  <si>
    <t>No additional condition penalty</t>
  </si>
  <si>
    <t>Linear graduation from Severe threshold to floor</t>
  </si>
  <si>
    <t>screening only</t>
  </si>
  <si>
    <t>20/100 km/year starts at the existing Severe factor 0.75; 80/100 km/year reaches 0.60. Calibrate to utility failure data where available.</t>
  </si>
  <si>
    <t>NON-METALLIC SCREENING ASSUMPTIONS</t>
  </si>
  <si>
    <t>Structural - Moderate</t>
  </si>
  <si>
    <t>Moderate condition reduces remaining planning life by 8%</t>
  </si>
  <si>
    <t>PVC / uPVC nominal screening life</t>
  </si>
  <si>
    <t>Editable planning assumption</t>
  </si>
  <si>
    <t>Structural - Poor</t>
  </si>
  <si>
    <t>Poor condition reduces remaining planning life by 20%</t>
  </si>
  <si>
    <t>HDPE / MDPE nominal screening life</t>
  </si>
  <si>
    <t>Structural - Very poor</t>
  </si>
  <si>
    <t>Very poor condition materially reduces remaining planning life</t>
  </si>
  <si>
    <t>GRP nominal screening life</t>
  </si>
  <si>
    <t>Installation/joints - Good</t>
  </si>
  <si>
    <t>Good bedding/joints/workmanship</t>
  </si>
  <si>
    <t>Asbestos cement nominal screening life</t>
  </si>
  <si>
    <t>Installation/joints - Average</t>
  </si>
  <si>
    <t>Small baseline allowance for normal installation/joint ageing</t>
  </si>
  <si>
    <t>Concrete nominal screening life</t>
  </si>
  <si>
    <t>Installation/joints - Poor</t>
  </si>
  <si>
    <t>Poor joints/bedding/workmanship increase failure susceptibility</t>
  </si>
  <si>
    <t>PCCP nominal screening life</t>
  </si>
  <si>
    <t>Installation/joints - Unknown - Average</t>
  </si>
  <si>
    <t>Average of practical screening allowances</t>
  </si>
  <si>
    <t>Screening horizon only</t>
  </si>
  <si>
    <t>Nominal non-metallic lives are conservative model-policy screening horizons, not warranties or universal physical failure ages. Reaching the horizon means the age-only route no longer awards positive life; material-specific evidence is required.</t>
  </si>
  <si>
    <t>Installation/joints - Unknown - Worst Case</t>
  </si>
  <si>
    <t>Uses poor-condition allowance</t>
  </si>
  <si>
    <t>Screening only</t>
  </si>
  <si>
    <t>Factors are editable and should be calibrated with utility failure/inspection data</t>
  </si>
  <si>
    <t>THICKNESS METHOD</t>
  </si>
  <si>
    <t>Reference wall comes from material + diameter + class/reference table; age then reduces estimated wall through the deterioration rate. Installation year does not currently select a different historic manufacturing wall cohort.</t>
  </si>
  <si>
    <t>CONDITION-DEPENDENT PRESSURE RESPONSE</t>
  </si>
  <si>
    <t>PURPOSE</t>
  </si>
  <si>
    <t>Neutral pressure point</t>
  </si>
  <si>
    <t>VELOCITY TABLE UNIT RULE</t>
  </si>
  <si>
    <t>Base pressure sensitivity</t>
  </si>
  <si>
    <t>coefficient</t>
  </si>
  <si>
    <t>Good-condition pipe has only modest pressure sensitivity</t>
  </si>
  <si>
    <t>Rule 1</t>
  </si>
  <si>
    <t>Metric velocity table</t>
  </si>
  <si>
    <t>If source velocity is expressed in metres/second, diameter and wall thickness are treated as metric.</t>
  </si>
  <si>
    <t>Wall thickness retained in mm; velocity normalized to m/ms.</t>
  </si>
  <si>
    <t>Structural-condition sensitivity weight</t>
  </si>
  <si>
    <t>Poor structural condition increases pressure sensitivity</t>
  </si>
  <si>
    <t>Rule 2</t>
  </si>
  <si>
    <t>Imperial velocity table</t>
  </si>
  <si>
    <t>If source velocity is expressed in feet/second, associated pipe dimensions and wall thickness are treated as imperial.</t>
  </si>
  <si>
    <t>Wall thickness inches × 25.4 = mm; diameter inches × 25.4 = mm; velocity ft/s × 0.3048 / 1000 = m/ms.</t>
  </si>
  <si>
    <t>Installation/joint sensitivity weight</t>
  </si>
  <si>
    <t>Poor joints/bedding increase pressure sensitivity</t>
  </si>
  <si>
    <t>Rule 3</t>
  </si>
  <si>
    <t>Imperial nominal size only</t>
  </si>
  <si>
    <t>An inch nominal-size label alone does not make the wall table imperial if the actual diameter/wall and velocity columns are metric.</t>
  </si>
  <si>
    <t>Example: an 8-inch nominal AC row with diameter 203 and wall 14.5 and velocity ~960 is already metric for calculation.</t>
  </si>
  <si>
    <t>Soil-condition sensitivity weight</t>
  </si>
  <si>
    <t>Aggressive soil increases sensitivity because less structural reserve remains</t>
  </si>
  <si>
    <t>Internal model units</t>
  </si>
  <si>
    <t>Diameter</t>
  </si>
  <si>
    <t>Transient/cycling sensitivity weight</t>
  </si>
  <si>
    <t>Transient/cycling severity reduces life directly through the retention factor. It is deliberately excluded from the below-reference pressure-benefit sensitivity so a more severe transient regime can never create a longer what-if life.</t>
  </si>
  <si>
    <t>Wall thickness</t>
  </si>
  <si>
    <t>Risk-curve exponent</t>
  </si>
  <si>
    <t>dimensionless</t>
  </si>
  <si>
    <t>Risk index = 100 × (1 − adjusted remaining life / base planning life)^exponent. Exponent 2 is a graphical screening curve only.</t>
  </si>
  <si>
    <t>Pressure benefit ceiling</t>
  </si>
  <si>
    <t>Applicable route horizon</t>
  </si>
  <si>
    <t>cap</t>
  </si>
  <si>
    <t>EBP is capped at chronological remaining life. Measured routes use the continuous evidence horizon; Direct Wall is additionally capped at measured reserve years.</t>
  </si>
  <si>
    <t>Risk index governance</t>
  </si>
  <si>
    <t>Screening index only</t>
  </si>
  <si>
    <t>Relative index 0–100; not a statistical probability or observed failures/year</t>
  </si>
  <si>
    <t>TRANSIENT / CYCLING CONDITION</t>
  </si>
  <si>
    <t>RETENTION</t>
  </si>
  <si>
    <t>SENSITIVITY MULTIPLIER</t>
  </si>
  <si>
    <t>High</t>
  </si>
  <si>
    <t>MODEL GOVERNANCE — TRANSPARENCY SUMMARY</t>
  </si>
  <si>
    <t>Measured/observed inputs</t>
  </si>
  <si>
    <t>Direct wall, velocity, pressure, surge, burst count, survey length/history, location/date</t>
  </si>
  <si>
    <t>Highest-value evidence; should override generic assumptions where representative.</t>
  </si>
  <si>
    <t>Velocity/wall tables, material parameters</t>
  </si>
  <si>
    <t>Establish starting/reference condition and structural screening.</t>
  </si>
  <si>
    <t>METALLIC ACOUSTIC CONDITION / LIFE CALCULATION</t>
  </si>
  <si>
    <t>METHOD</t>
  </si>
  <si>
    <t>ENGINEERING GOVERNANCE</t>
  </si>
  <si>
    <t>Calibration point</t>
  </si>
  <si>
    <t>Exact single material + diameter + class reference where available; otherwise embedded material/diameter average</t>
  </si>
  <si>
    <t>Avoids forcing a false exact class where the class is unknown or the reference table is ambiguous.</t>
  </si>
  <si>
    <t>Calibrated Korteweg-style compliance relationship using fluid-only speed, calibration velocity and measured velocity</t>
  </si>
  <si>
    <t>Represents section-average equivalent stiffness/wall condition, not direct minimum wall.</t>
  </si>
  <si>
    <t>Planning-critical wall</t>
  </si>
  <si>
    <t>Maximum of material policy minimum wall, absolute minimum wall and pressure-required wall</t>
  </si>
  <si>
    <t>Planning threshold only; not a structural fitness-for-service failure thickness.</t>
  </si>
  <si>
    <t>Remaining-life factor</t>
  </si>
  <si>
    <t>Structural reserve = (acoustic equivalent wall − planning-critical wall) / (calibration wall − planning-critical wall), bounded 0–1</t>
  </si>
  <si>
    <t>Acoustic reserve is bounded from 0 to 1 and scales the larger of chronological remaining life and the 25-year review horizon.</t>
  </si>
  <si>
    <t>Key limitations</t>
  </si>
  <si>
    <t>Acoustic result is affected by material modulus, wall restraint, lining, diameter, water properties, temperature, entrained air, fittings, mixed pipe sections, graphitization and measurement quality.</t>
  </si>
  <si>
    <t>Local pitting/cracks can be materially worse than a section-average acoustic result. Direct wall/NDT or local calibration should govern high-value intervention decisions.</t>
  </si>
  <si>
    <t>Reference — wave speed physics</t>
  </si>
  <si>
    <t>Korteweg-type relationship: wave speed depends on fluid bulk modulus plus pipe diameter, wall thickness and elastic modulus.</t>
  </si>
  <si>
    <t>Reference — condition assessment limitations</t>
  </si>
  <si>
    <t>https://ascelibrary.org/doi/10.1061/9780784486382.024</t>
  </si>
  <si>
    <t>Acoustic condition assessment has resolution and structural-integrity limitations; use as part of an engineering condition-assessment process.</t>
  </si>
  <si>
    <t>Reference — field application</t>
  </si>
  <si>
    <t>https://www.echologics.com/services/condition-assessment/epulse/</t>
  </si>
  <si>
    <t>Commercial acoustic condition assessment reports average remaining wall thickness and utilities interpret remaining service life; validation against direct measurements is important.</t>
  </si>
  <si>
    <t>Shamilton@hydrotec.ltd.uk</t>
  </si>
  <si>
    <t>17.4</t>
  </si>
  <si>
    <t>Date</t>
  </si>
  <si>
    <t>25 August 2026</t>
  </si>
  <si>
    <t>Reference — EPA field demonstration</t>
  </si>
  <si>
    <t>EPA field demonstrations compare acoustic pipe-wall assessment with other direct/internal/external condition technologies.</t>
  </si>
  <si>
    <t>Engineering condition-assessment and rehabilitation-planning screening model</t>
  </si>
  <si>
    <t>Reference — cast iron variability</t>
  </si>
  <si>
    <t>https://www.sciencedirect.com/org/science/article/pii/S2053025017000148</t>
  </si>
  <si>
    <t>Cast iron acoustic/material properties vary; local calibration is desirable where possible.</t>
  </si>
  <si>
    <t>Version-controlled engineering model</t>
  </si>
  <si>
    <t>Acoustic material coverage</t>
  </si>
  <si>
    <t>Carbon steel; Ductile iron; Grey cast iron</t>
  </si>
  <si>
    <t>Only released material/class/diameter combinations in the embedded velocity-reference table are eligible for acoustic remaining-life calculation. Copper, galvanized iron, unknown metallic and non-metallic materials are intentionally excluded from the acoustic life route.</t>
  </si>
  <si>
    <t>17.5</t>
  </si>
  <si>
    <t>No-reference rule</t>
  </si>
  <si>
    <t>Velocity is not used for life where no calibration pair exists</t>
  </si>
  <si>
    <t>Do not infer a velocity-to-life curve for Galvanized iron, Unknown metallic or unsupported sizes without validated reference/calibration data.</t>
  </si>
  <si>
    <t>Assessment method selector</t>
  </si>
  <si>
    <t>Explicit Dashboard dropdown</t>
  </si>
  <si>
    <t>Prevents silent priority switching and makes the active evidence route auditable.</t>
  </si>
  <si>
    <t>Direct wall life method</t>
  </si>
  <si>
    <t>Structural reserve between calibration/reference wall and planning-critical wall</t>
  </si>
  <si>
    <t>Direct Wall measured thickness changes remaining planning life directly through the actual measured reserve to the critical planning wall and the governing deterioration rate. The entered value is assumed to include the engineer's lowest relevant pitting point; no generic pitting deduction is applied. The reserve ratio remains for condition-band diagnostics only.</t>
  </si>
  <si>
    <t>Measured-evidence post-nominal engineering-review ceiling</t>
  </si>
  <si>
    <t>years — maximum planning horizon, not a prediction of failure age</t>
  </si>
  <si>
    <t>For valid measured evidence at every age, use the larger of chronological remaining life and this 25-year review horizon. Direct Wall further limits the horizon to measured reserve years. Local point evidence requires representative measurements before section-wide interpretation.</t>
  </si>
  <si>
    <t>Direct-wall deterioration-rate governance</t>
  </si>
  <si>
    <t>MAX(material base rate × soil factor, measured/reference wall loss ÷ pipe age)</t>
  </si>
  <si>
    <t>Where an original/reference wall exists and a direct wall measurement shows loss, the model uses the higher evidence-derived historical loss rate. This prevents a low generic corrosion assumption from overriding actual observed section loss.</t>
  </si>
  <si>
    <t>17.24</t>
  </si>
  <si>
    <t>Engine-side input guards</t>
  </si>
  <si>
    <t>Dedicated Calc Engine B146:B148 status cells</t>
  </si>
  <si>
    <t>Diameter, installation year and selected-method evidence are validated independently of Dashboard data validation so pasted/imported values cannot silently bypass controls.</t>
  </si>
  <si>
    <t>Acoustic lower plausibility bound</t>
  </si>
  <si>
    <t>50% of selected calibration velocity</t>
  </si>
  <si>
    <t>Input-quality screen only. Values below this bound are flagged INVALID to catch likely unit/decimal/measurement problems; it is not a physical failure threshold.</t>
  </si>
  <si>
    <t>Multiplicative retention factors</t>
  </si>
  <si>
    <t>INTENTIONAL MODEL STRUCTURE</t>
  </si>
  <si>
    <t>Soil, condition, joints, cycling and failure-history retentions multiply because the model treats them as concurrent independent deterioration/load mechanisms. The combined effect is deliberately conservative and bounded by the model life caps.</t>
  </si>
  <si>
    <t>Below-reference pressure factor</t>
  </si>
  <si>
    <t>REVIEWED — RETAINED</t>
  </si>
  <si>
    <t>Below the 50 m peak-head reference, the exponential pressure modifier can exceed 1, subject to the route life cap. The failure-history sensitivity adder is excluded below that reference so worsening history cannot generate additional life credit. Cycling applies through retention only.</t>
  </si>
  <si>
    <t>Imperial diameter display</t>
  </si>
  <si>
    <t>Rounded nominal inch label + exact metric reference in brackets</t>
  </si>
  <si>
    <t>The rounded inch value is presentation only. The exact metric reference in brackets is parsed back to the canonical calculation engine so no geometry/reference precision is lost.</t>
  </si>
  <si>
    <t>US Imperial mode</t>
  </si>
  <si>
    <t>REMOVED — no current calculation distinction</t>
  </si>
  <si>
    <t>The current model uses miles, inches and psi for non-metric inputs; these do not differ between the former Imperial and US Imperial modes. A separate mode would only be needed if differing units such as UK/US gallons were introduced.</t>
  </si>
  <si>
    <t>Direct Wall/NDT life architecture</t>
  </si>
  <si>
    <t>NO DUPLICATE WALL-RETENTION MULTIPLIER</t>
  </si>
  <si>
    <t>Direct Wall measured wall already controls actual wall reserve, critical-wall margin and the observed/generic governing deterioration rate. The wall-derived reserve ratio remains a diagnostic/condition-band indicator and is not multiplied into Direct Wall remaining life. No generic pitting deduction is applied to the direct measurement.</t>
  </si>
  <si>
    <t>Direct Wall/NDT independent factors</t>
  </si>
  <si>
    <t>RETAINED</t>
  </si>
  <si>
    <t>Pressure effect, installation/joint condition, cycling/supply regime, failure history and other independent risk factors remain active. Soil/environment remains embedded in the governing deterioration rate. The change removes only duplicate use of the same wall-thickness evidence.</t>
  </si>
  <si>
    <t>Direct Wall/NDT RAG interpretation</t>
  </si>
  <si>
    <t>LIFE + RESERVE DIAGNOSTIC</t>
  </si>
  <si>
    <t>Headline RAG continues to consider both remaining-life thresholds and the direct-wall reserve/critical-wall condition band. A pipe close to the planning-critical wall can still become AMBER/RED even after removal of the duplicate life penalty.</t>
  </si>
  <si>
    <t>Direct Wall headline RAG</t>
  </si>
  <si>
    <t>WORST OF LIFE BAND AND MEASURED RESERVE BAND</t>
  </si>
  <si>
    <t>A Direct Wall result cannot publish GREEN if the measured reserve diagnostic is AMBER or RED. The headline takes the more severe of the remaining-life threshold band and the Direct Wall reserve/critical-wall band.</t>
  </si>
  <si>
    <t>Minimum selectable pipeline diameter</t>
  </si>
  <si>
    <t>25 mm</t>
  </si>
  <si>
    <t>This is the model screening-scope floor, not a claim that smaller pipe cannot be assessed by other methods. Embedded source rows below 25 mm are retained for traceability but excluded from Dashboard diameter selection.</t>
  </si>
  <si>
    <t>Carbon steel selectable sizes</t>
  </si>
  <si>
    <t>55 mm and above from embedded supported list</t>
  </si>
  <si>
    <t>The 13 mm source entry is below the model screening-scope floor and is therefore retained in source data but removed from the selectable list.</t>
  </si>
  <si>
    <t>Copper selectable sizes</t>
  </si>
  <si>
    <t>26 mm and above from embedded supported list</t>
  </si>
  <si>
    <t>The 4, 6, 8, 13, 16 and 20 mm source entries are below the model screening-scope floor and are retained in source data but removed from the selectable list.</t>
  </si>
  <si>
    <t>Direct Wall/NDT pitting treatment</t>
  </si>
  <si>
    <t>NO AUTOMATIC PITTING DEDUCTION</t>
  </si>
  <si>
    <t>The entered Direct Wall value is assumed to be the governing measured remaining wall at the inspected location, including the lowest relevant pitting point identified by the engineer. Applying another generic pitting reduction would double-penalise the measurement.</t>
  </si>
  <si>
    <t>Engineering Best-Practice pitting treatment</t>
  </si>
  <si>
    <t>RETAIN MODEL PITTING ALLOWANCE</t>
  </si>
  <si>
    <t>Where wall condition is estimated rather than directly measured, the material-specific pitting allowance remains part of the conservative planning estimate.</t>
  </si>
  <si>
    <t>Measured Acoustic pitting treatment</t>
  </si>
  <si>
    <t>Acoustic equivalent wall is an indirect/section-average condition estimate and may not reveal the minimum local wall; the material-specific pitting allowance remains appropriate as a screening uncertainty.</t>
  </si>
  <si>
    <t>Grey Cast Iron caution</t>
  </si>
  <si>
    <t>GRAPHITIZATION / LOCAL LOSS REQUIRE ENGINEERING JUDGEMENT</t>
  </si>
  <si>
    <t>A thickness reading may not fully describe graphitization or local deterioration morphology. The Direct Wall result applies to the measured location and should be supported by representative NDT/inspection where intervention decisions are material.</t>
  </si>
  <si>
    <t>What-if RAG consistency</t>
  </si>
  <si>
    <t>SAME LOGIC AS CURRENT</t>
  </si>
  <si>
    <t>When current and what-if pressure are the same, Current Condition and What-if Pressure must publish the same life range and RAG colour.</t>
  </si>
  <si>
    <t>Direct Wall what-if condition</t>
  </si>
  <si>
    <t>RECALCULATE CRITICAL WALL + RESERVE</t>
  </si>
  <si>
    <t>What-if pressure changes the pressure-required wall, which can change the Direct Wall planning-critical wall and reserve band. The what-if headline takes the worse of its life band and its own measured-reserve band.</t>
  </si>
  <si>
    <t>What-if service requirement</t>
  </si>
  <si>
    <t>USE WHAT-IF PRESSURE CHECK</t>
  </si>
  <si>
    <t>The What-if Pressure box uses the what-if minimum-service requirement status (B111), not the current-pressure status (B110).</t>
  </si>
  <si>
    <t>What-if below service pressure</t>
  </si>
  <si>
    <t>RED OPERATIONAL OVERRIDE</t>
  </si>
  <si>
    <t>If the what-if operating pressure is below the entered minimum service-pressure requirement, the What-if box remains RED regardless of structural life. This is an operational warning, not a statement that lower pressure damaged the pipe.</t>
  </si>
  <si>
    <t>Structural condition shown separately</t>
  </si>
  <si>
    <t>YES</t>
  </si>
  <si>
    <t>When the operational override is active, the box separately reports the structural RAG from the pressure-adjusted pipe assessment and its structural remaining-life range.</t>
  </si>
  <si>
    <t>AVOID MISINTERPRETATION</t>
  </si>
  <si>
    <t>A user may intentionally test a pressure below the normal service requirement. The model allows this scenario but clearly distinguishes operational acceptability from structural pipe condition.</t>
  </si>
  <si>
    <t>Auto-derived Severe vs manual Severe</t>
  </si>
  <si>
    <t>MUST MATCH</t>
  </si>
  <si>
    <t>Both routes use one centralized Severe retention factor calculated from the canonical failure rate.</t>
  </si>
  <si>
    <t>0.75 TO 0.60</t>
  </si>
  <si>
    <t>Graduation is independent of whether Severe is automatic or manually selected.</t>
  </si>
  <si>
    <t>Structural Auto range</t>
  </si>
  <si>
    <t>0.65 TO 1.00</t>
  </si>
  <si>
    <t>Auto is continuous within the defined structural-condition scale and is floored at the current Very poor manual retention.</t>
  </si>
  <si>
    <t>Very poor structural retention</t>
  </si>
  <si>
    <t>REFERENCE FLOOR</t>
  </si>
  <si>
    <t>Auto floor references Assumptions &amp; Method F24 rather than a hard-coded number, so governance remains aligned if the manual Very poor assumption is ever formally revised.</t>
  </si>
  <si>
    <t>Auto vs Very poor rule</t>
  </si>
  <si>
    <t>AUTO CANNOT BE WORSE</t>
  </si>
  <si>
    <t>For identical non-structural inputs, Auto may equal Very poor but cannot produce a lower life solely because its structural retention fell below the worst manual category.</t>
  </si>
  <si>
    <t>Material-change stale-selection rule</t>
  </si>
  <si>
    <t>ASSESSMENT BLOCKED</t>
  </si>
  <si>
    <t>Changing Pipe Material or assessment method can leave a prior class/diameter in the input cells. The engine verifies both against the CURRENT drop-down lists before publishing life.</t>
  </si>
  <si>
    <t>Pipe class validity</t>
  </si>
  <si>
    <t>CURRENT MATERIAL LIST</t>
  </si>
  <si>
    <t>The retained class must occur in the class list for the selected material. Invalid classes are no longer silently normalised to an Unknown category.</t>
  </si>
  <si>
    <t>Pipe diameter validity</t>
  </si>
  <si>
    <t>CURRENT MATERIAL / METHOD LIST</t>
  </si>
  <si>
    <t>The canonical diameter must occur in the current material/method-dependent diameter list. A physically valid diameter from the previous material is not accepted if unsupported by the new selection.</t>
  </si>
  <si>
    <t>Reselection behaviour</t>
  </si>
  <si>
    <t>ONLY WHEN NEEDED</t>
  </si>
  <si>
    <t>If the retained class or diameter is genuinely valid for the new material/method, no forced reselection is required. The model blocks only unsupported stale combinations.</t>
  </si>
  <si>
    <t>FINAL ACOUSTIC VELOCITY GOVERNANCE</t>
  </si>
  <si>
    <t>Released acoustic remaining-life route: Ductile iron, Grey cast iron and Carbon steel.</t>
  </si>
  <si>
    <t>EXCLUDED FROM ACOUSTIC LIFE</t>
  </si>
  <si>
    <t>Copper remains available for Engineering Best-Practice and Direct Wall/NDT. Manufacturer correlator velocities are useful for leak location, but final release does not claim a generally validated Copper velocity-to-remaining-life conversion.</t>
  </si>
  <si>
    <t>Healthy reference vs validity</t>
  </si>
  <si>
    <t>SEPARATED</t>
  </si>
  <si>
    <t>A measured velocity below the nominal healthy envelope is not automatically invalid. If physically plausible and calibrated, it is converted to lower acoustic equivalent wall and used in remaining-life calculation.</t>
  </si>
  <si>
    <t>Physical validity gate</t>
  </si>
  <si>
    <t>BROAD INPUT-QA SCREEN</t>
  </si>
  <si>
    <t>Positive velocity, released metallic calibration, below the water-only acoustic ceiling and not less than 50% of selected healthy reference. The 50% lower screen is an input-quality guard, not a physical failure threshold.</t>
  </si>
  <si>
    <t>SOURCE TYPO CORRECTED</t>
  </si>
  <si>
    <t>The first duplicated 450 mm source row was verified from the embedded BS 4622 source table as 350 mm. 350 mm is restored to the material/acoustic diameter list and 450 mm derived values use only true 450-mm classes.</t>
  </si>
  <si>
    <t>External benchmark</t>
  </si>
  <si>
    <t>FUJI LC-2500 + ADS EUREKA2R</t>
  </si>
  <si>
    <t>All released central healthy material/diameter acoustic references were checked against independent leak-correlator manufacturer tables. Maximum deviation remained within 10%.</t>
  </si>
  <si>
    <t>Physics basis</t>
  </si>
  <si>
    <t>KORTEWEG-TYPE</t>
  </si>
  <si>
    <t>Velocity-to-equivalent-wall conversion follows the calibrated compliance ratio. Reference velocity returns reference wall by construction; lower valid velocity gives lower equivalent wall monotonically.</t>
  </si>
  <si>
    <t>Local calibration</t>
  </si>
  <si>
    <t>PREFERRED WHEN AVAILABLE</t>
  </si>
  <si>
    <t>Actual field velocity can vary with material vintage, diameter/wall, restraint, lining, joints, soil coupling, temperature and entrained air. Local calibration and representative NDT remain preferable for high-consequence decisions.</t>
  </si>
  <si>
    <t>FINAL NON-METALLIC ROUTE GOVERNANCE</t>
  </si>
  <si>
    <t>Engineering Best-Practice is the released condition-screening route for PVC/uPVC, HDPE/MDPE, GRP/Fiberglass, Asbestos cement, Concrete and PCCP.</t>
  </si>
  <si>
    <t>Published-life route</t>
  </si>
  <si>
    <t>Calc I13/I14</t>
  </si>
  <si>
    <t>Non-metallic current/what-if life is published from the dedicated non-metallic screening engine, not the metallic planning-life engine.</t>
  </si>
  <si>
    <t>Pressure rating</t>
  </si>
  <si>
    <t>REQUIRED &gt; 0</t>
  </si>
  <si>
    <t>Non-metallic screening uses pressure utilisation = (operating pressure + surge) / entered pressure rating. A missing/zero rating blocks assessment.</t>
  </si>
  <si>
    <t>Auto structural condition</t>
  </si>
  <si>
    <t>NO SECOND PENALTY</t>
  </si>
  <si>
    <t>For non-metallic Auto, age/pressure/environment/cycling are already embedded in retained condition; manual Moderate/Poor/Very poor selections are explicit additional engineer overrides.</t>
  </si>
  <si>
    <t>MEASURED-ROUTE CRITICAL-WALL GOVERNANCE</t>
  </si>
  <si>
    <t>Direct Wall/NDT and Measured Acoustic Velocity use measured wall/stiffness evidence directly. Their pressure-required critical wall is calculated without a second wall-derived structural-strength penalty.</t>
  </si>
  <si>
    <t>Pressure structural-strength factor</t>
  </si>
  <si>
    <t>1.00 FOR MEASURED ROUTES</t>
  </si>
  <si>
    <t>Prevents measured wall/velocity from changing the critical pressure wall against which that same measurement is judged. Engineering Best-Practice retains its condition-dependent pressure-strength screening factor.</t>
  </si>
  <si>
    <t>Engineering Auto pressure factor floor</t>
  </si>
  <si>
    <t>0.55</t>
  </si>
  <si>
    <t>Auto cannot be harsher than the manual Very poor pressure-strength factor.</t>
  </si>
  <si>
    <t>FAILURE CURVE ROUTE GOVERNANCE</t>
  </si>
  <si>
    <t>Graph 1 follows the same active material/evidence route used by the Dashboard rather than applying one generic metallic formula to every case.</t>
  </si>
  <si>
    <t>Direct Wall graph</t>
  </si>
  <si>
    <t>MEASURED RESERVE RECALCULATED</t>
  </si>
  <si>
    <t>At each plotted pressure the pressure-required critical wall is recalculated; entered measured wall and deterioration rate remain fixed. Direct Wall reserve-life logic mirrors the main engine.</t>
  </si>
  <si>
    <t>Intermittent / post-nominal</t>
  </si>
  <si>
    <t>ALIGNED</t>
  </si>
  <si>
    <t>Metallic graph includes B109 intermittent allowance; post-nominal Acoustic measured-evidence extension is retained where active.</t>
  </si>
  <si>
    <t>GRAPH PRESSURE BASIS</t>
  </si>
  <si>
    <t>PEAK = OPERATING + SURGE</t>
  </si>
  <si>
    <t>Both metallic and non-metallic sensitivity curves use the same peak pressure basis as the main engine. The x-axis remains operating pressure for user interpretation.</t>
  </si>
  <si>
    <t>Graph/current equality rule</t>
  </si>
  <si>
    <t>MANDATORY QA</t>
  </si>
  <si>
    <t>Where a graph x-axis operating-pressure point equals the Dashboard current pressure, Graph 1 central life must equal the active main-engine central life for the same case.</t>
  </si>
  <si>
    <t>FINAL INPUT-BOUNDARY GOVERNANCE</t>
  </si>
  <si>
    <t>Invalid pasted text must return a controlled INVALID / INPUT CHECK REQUIRED state; it must not create spreadsheet errors.</t>
  </si>
  <si>
    <t>Survey date / installation year</t>
  </si>
  <si>
    <t>GUARDED</t>
  </si>
  <si>
    <t>YEAR() and INT() are evaluated only after numeric/date checks, preventing #VALUE! propagation.</t>
  </si>
  <si>
    <t>1–5 WHOLE NUMBER</t>
  </si>
  <si>
    <t>Text, decimals, zero and values above 5 are blocked.</t>
  </si>
  <si>
    <t>Burst / history</t>
  </si>
  <si>
    <t>NON-NEGATIVE / VALID PERIOD</t>
  </si>
  <si>
    <t>Burst count must be a non-negative whole number. History period cannot be negative/text; a positive count requires a positive period.</t>
  </si>
  <si>
    <t>Warning priority</t>
  </si>
  <si>
    <t>METHOD BEFORE SECONDARY DIAMETER</t>
  </si>
  <si>
    <t>Unsupported Direct Wall or Acoustic material/method selections report the method-scope limitation before any dependent-dropdown stale-selection warning.</t>
  </si>
  <si>
    <t>ZERO-FAILURE HISTORY GOVERNANCE</t>
  </si>
  <si>
    <t>A valid history period with zero recorded failures is classified Nil, not Insufficient data.</t>
  </si>
  <si>
    <t>Numeric-zero handling</t>
  </si>
  <si>
    <t>ISNUMBER GUARD</t>
  </si>
  <si>
    <t>Failure-rate and classification formulas use numeric guards rather than blank-string comparisons so a legitimate zero cannot be mistaken for missing data.</t>
  </si>
  <si>
    <t>INVALID NUMERIC INPUT PROPAGATION</t>
  </si>
  <si>
    <t>Canonical pressure, surge, rating and minimum-service inputs return blank when pasted values are nonnumeric, preventing hidden arithmetic #VALUE! errors while the core guard reports INVALID.</t>
  </si>
  <si>
    <t>Action-message architecture</t>
  </si>
  <si>
    <t>STATIC HELPERS</t>
  </si>
  <si>
    <t>Long user-facing recommendation text is stored in helper cells; Dashboard D40 uses a short selector formula to avoid unsupported LONGTEXT-style serialization.</t>
  </si>
  <si>
    <t>Non-metallic diameter treatment</t>
  </si>
  <si>
    <t>NO ARBITRARY DIAMETER PENALTY</t>
  </si>
  <si>
    <t>Diameter alone is not used as a generic non-metal degradation multiplier because section geometry, SDR/stiffness, bedding and external loads are not inferable from diameter alone. Material-specific pressure rating and evidence should be used instead.</t>
  </si>
  <si>
    <t>INVALID LENGTH PROPAGATION</t>
  </si>
  <si>
    <t>Surveyed length is canonicalized only when numeric; invalid pasted text cannot create hidden arithmetic errors.</t>
  </si>
  <si>
    <t>FAILURE CURVE INVALID-STATE GOVERNANCE</t>
  </si>
  <si>
    <t>BLANK ON INVALID</t>
  </si>
  <si>
    <t>Failure-curve series return blank while the core assessment is INVALID. Valid-case formulas and graph relationships are unchanged.</t>
  </si>
  <si>
    <t>WARNING CELL GOVERNANCE</t>
  </si>
  <si>
    <t>BLANK WHEN VALID</t>
  </si>
  <si>
    <t>Calc Engine B144 contains an input-check message only when the assessment status is INVALID.</t>
  </si>
  <si>
    <t>MATERIAL-SPECIFIC DIAMETER SCOPE</t>
  </si>
  <si>
    <t>Non-metallic materials no longer share one generic 25–2000 mm dropdown.</t>
  </si>
  <si>
    <t>PVC / PE / GRP</t>
  </si>
  <si>
    <t>STANDARD-BOUNDED</t>
  </si>
  <si>
    <t>PVC 100–1500 mm; HDPE/MDPE 25–1650 mm; GRP 25–2000 mm in the released model. The workbook range may be narrower than an external standard.</t>
  </si>
  <si>
    <t>AC / Concrete / PCCP</t>
  </si>
  <si>
    <t>LEGACY / LARGE-DIAMETER BOUNDED</t>
  </si>
  <si>
    <t>AC 100–900 mm (legacy assessment); Concrete 250–2000 mm; PCCP 410–2000 mm.</t>
  </si>
  <si>
    <t>Out-of-scope rule</t>
  </si>
  <si>
    <t>DO NOT ROUND TO NEAREST</t>
  </si>
  <si>
    <t>If the actual pipe diameter is outside the selectable material scope, use custom engineering/project data rather than forcing the closest dropdown size.</t>
  </si>
  <si>
    <t>DIAMETER SELECTOR ARCHITECTURE</t>
  </si>
  <si>
    <t>Material diameter lists are held in a compact BB:BM matrix and selected by INDEX/MATCH. This avoids an over-long nested-IF formula.</t>
  </si>
  <si>
    <t>NO #NAME!</t>
  </si>
  <si>
    <t>AO2:AO40 must contain only numeric diameter values/blanks and pass every material-specific scope test.</t>
  </si>
  <si>
    <t>FINAL RELEASE-CANDIDATE QA</t>
  </si>
  <si>
    <t>All released discrete selection combinations have completed regression coverage; formula, invalid-input, graph, unit, priority and material-scope checks are reconciled in Audit &amp; Validation.</t>
  </si>
  <si>
    <t>Acoustic released materials</t>
  </si>
  <si>
    <t>DI / GCI / Carbon steel</t>
  </si>
  <si>
    <t>Copper remains intentionally excluded from acoustic remaining-life assessment; use Engineering Best-Practice or Direct Wall/NDT where applicable.</t>
  </si>
  <si>
    <t>ENGINEERING SCREENING / PLANNING</t>
  </si>
  <si>
    <t>Remaining-life outputs are planning estimates under stated assumptions, not warranties, certified failure dates or substitutes for material-specific investigation on high-consequence assets.</t>
  </si>
  <si>
    <t>PIPE CATEGORY / CLASS EFFECT</t>
  </si>
  <si>
    <t>Engineering Best-Practice now preserves the selected class/reference-wall retention effect when a manual structural-condition category is selected.</t>
  </si>
  <si>
    <t>Manual structural condition</t>
  </si>
  <si>
    <t>ADDITIONAL FACTOR, NOT REPLACEMENT</t>
  </si>
  <si>
    <t>For metallic Engineering Best-Practice, manual Good/Moderate/Poor/Very poor multiplies the class/reference wall-retention factor rather than replacing it. Auto already contained the wall-retention term and is unchanged.</t>
  </si>
  <si>
    <t>Post-horizon governance</t>
  </si>
  <si>
    <t>Pipe category alone does not award positive Engineering Best-Practice life after the nominal metallic planning horizon is exhausted. Condition evidence is required for life extension.</t>
  </si>
  <si>
    <t>Material</t>
  </si>
  <si>
    <t>Elastic modulus (GPa)</t>
  </si>
  <si>
    <t>Allowable hoop stress (MPa)</t>
  </si>
  <si>
    <t>Policy minimum wall (%)</t>
  </si>
  <si>
    <t>Absolute min wall (mm)</t>
  </si>
  <si>
    <t>Base corrosion rate (mm/y)</t>
  </si>
  <si>
    <t>Fallback wall / diameter ratio</t>
  </si>
  <si>
    <t>Acoustic note</t>
  </si>
  <si>
    <t>Pitting allowance (%)</t>
  </si>
  <si>
    <t>Soil aggression</t>
  </si>
  <si>
    <t>Engineering basis / release review</t>
  </si>
  <si>
    <t>Source URL</t>
  </si>
  <si>
    <t>Age-only screening rate reduced; use measured velocity or UT/NDT where available.</t>
  </si>
  <si>
    <t>Ductile iron: conservative pressure-screening stress aligned to AWWA/DIPRA 21,000 psi design stress. 45% reference-wall policy and 2.5 mm absolute planning floor retained; both are screening thresholds, not certified failure thickness.</t>
  </si>
  <si>
    <t>Historic cast iron often has substantial original wall thickness. Age alone must not classify failure; use table wall plus conservative deterioration screening.</t>
  </si>
  <si>
    <t>Grey cast iron: 3.0 mm absolute planning floor and 55% reference-wall policy retained. Brittle behaviour, graphitisation and local section loss justify a more conservative residual-wall threshold than steel/galvanized pipe.</t>
  </si>
  <si>
    <t>Age-only screening rate reduced; localized corrosion still requires UT/NDT verification.</t>
  </si>
  <si>
    <t>Carbon steel: 140 MPa allowable screening stress retained; 2.5 mm absolute planning floor is conservative versus AWWA steel-water-pipe minimum handling thickness. Remaining-strength decisions still require direct NDT/engineering review.</t>
  </si>
  <si>
    <t>https://www.asme.org/codes-standards/find-codes-standards/b31g-manual-determining-remaining-strength-corroded-pipelines</t>
  </si>
  <si>
    <t>Age-only screening only; local pitting can govern.</t>
  </si>
  <si>
    <t>Copper: allowable hoop stress reduced to 41 MPa, matching conservative annealed-tube allowable stress near room temperature when temper/joint condition is not known. 50% reference-wall policy remains the main condition threshold.</t>
  </si>
  <si>
    <t>https://www.copper.org/applications/plumbing/overview/cu_alloy_tube_pipe.php</t>
  </si>
  <si>
    <t>Age-only screening only; coating/galvanizing condition can vary widely.</t>
  </si>
  <si>
    <t>Galvanized iron: allowable hoop stress reduced to 97.5 MPa (~50% of 195 MPa minimum yield in BS 1387/EN 10255 source data). 1.5 mm absolute floor and 40% reference-wall policy retained. Actual nominal BS 1387 medium walls are now embedded as direct-wall references.</t>
  </si>
  <si>
    <t>https://www.asp-jo.com/seam-welded-steel-pipes-bs-1387-bs-en-10255-</t>
  </si>
  <si>
    <t>Conservative metallic fallback; identify material before major investment decisions.</t>
  </si>
  <si>
    <t>Unknown metallic: conservative fallback retained; identify material and obtain representative NDT before investment or life-extension decisions.</t>
  </si>
  <si>
    <t>Non-metallic route: ageing, pressure utilisation, surge and cyclic fatigue; acoustic velocity is not converted directly to wall loss.</t>
  </si>
  <si>
    <t>Non-metallic route: creep, slow crack growth, joints, temperature and pressure cycling; acoustic velocity is not converted directly to wall loss.</t>
  </si>
  <si>
    <t>Non-metallic route: retained laminate strength, joints, installation condition and pressure cycling.</t>
  </si>
  <si>
    <t>Non-metallic route: chemical leaching, ageing, brittleness and retained strength; wall thickness alone is not a reliable life measure.</t>
  </si>
  <si>
    <t>Structural route: cracking, reinforcement condition, external loading and pressure demand.</t>
  </si>
  <si>
    <t>Structural route: prestressing-wire/reinforcement condition, cracking, pressure and surge. Specialist inspection is important.</t>
  </si>
  <si>
    <t>Internal diameter (mm)</t>
  </si>
  <si>
    <t>Reference wall (mm)</t>
  </si>
  <si>
    <t>Reference velocity (m/ms)</t>
  </si>
  <si>
    <t>Source / note</t>
  </si>
  <si>
    <t>Lookup key</t>
  </si>
  <si>
    <t>Normalized Diameter Unit</t>
  </si>
  <si>
    <t>Normalized Wall Unit</t>
  </si>
  <si>
    <t>Normalized Velocity Unit</t>
  </si>
  <si>
    <t>Selected material/canonical diameter healthy velocity</t>
  </si>
  <si>
    <t>Measured velocity difference</t>
  </si>
  <si>
    <t>Identity helper</t>
  </si>
  <si>
    <t>Same-material measured difference</t>
  </si>
  <si>
    <t>Same-material helper</t>
  </si>
  <si>
    <t>Selected material/canonical diameter velocity</t>
  </si>
  <si>
    <t>Lower velocity candidate</t>
  </si>
  <si>
    <t>Upper velocity candidate</t>
  </si>
  <si>
    <t>Candidate wall</t>
  </si>
  <si>
    <t>velocity by wall size.xlsx</t>
  </si>
  <si>
    <t>Carbon steel|Standard|13</t>
  </si>
  <si>
    <t>Unknown - average</t>
  </si>
  <si>
    <t>Derived from attached velocity table: class average</t>
  </si>
  <si>
    <t>Carbon steel|Unknown - average|13</t>
  </si>
  <si>
    <t>Unknown - worst case</t>
  </si>
  <si>
    <t>Derived from attached velocity table: minimum wall class</t>
  </si>
  <si>
    <t>Carbon steel|Unknown - worst case|13</t>
  </si>
  <si>
    <t>Carbon steel|Standard|55</t>
  </si>
  <si>
    <t>Carbon steel|Unknown - average|55</t>
  </si>
  <si>
    <t>Carbon steel|Unknown - worst case|55</t>
  </si>
  <si>
    <t>Carbon steel|Standard|70</t>
  </si>
  <si>
    <t>Carbon steel|Unknown - average|70</t>
  </si>
  <si>
    <t>Carbon steel|Unknown - worst case|70</t>
  </si>
  <si>
    <t>Carbon steel|Standard|80</t>
  </si>
  <si>
    <t>Carbon steel|Unknown - average|80</t>
  </si>
  <si>
    <t>Carbon steel|Unknown - worst case|80</t>
  </si>
  <si>
    <t>Carbon steel|Standard|110</t>
  </si>
  <si>
    <t>Carbon steel|Unknown - average|110</t>
  </si>
  <si>
    <t>Carbon steel|Unknown - worst case|110</t>
  </si>
  <si>
    <t>Carbon steel|Standard|130</t>
  </si>
  <si>
    <t>Carbon steel|Unknown - average|130</t>
  </si>
  <si>
    <t>Carbon steel|Unknown - worst case|130</t>
  </si>
  <si>
    <t>Carbon steel|Standard|160</t>
  </si>
  <si>
    <t>Carbon steel|Unknown - average|160</t>
  </si>
  <si>
    <t>Carbon steel|Unknown - worst case|160</t>
  </si>
  <si>
    <t>Carbon steel|Standard|180</t>
  </si>
  <si>
    <t>Carbon steel|Unknown - average|180</t>
  </si>
  <si>
    <t>Carbon steel|Unknown - worst case|180</t>
  </si>
  <si>
    <t>Carbon steel|Standard|210</t>
  </si>
  <si>
    <t>Carbon steel|Unknown - average|210</t>
  </si>
  <si>
    <t>Carbon steel|Unknown - worst case|210</t>
  </si>
  <si>
    <t>Carbon steel|Standard|240</t>
  </si>
  <si>
    <t>Carbon steel|Unknown - average|240</t>
  </si>
  <si>
    <t>Carbon steel|Unknown - worst case|240</t>
  </si>
  <si>
    <t>Carbon steel|Standard|260</t>
  </si>
  <si>
    <t>Carbon steel|Unknown - average|260</t>
  </si>
  <si>
    <t>Carbon steel|Unknown - worst case|260</t>
  </si>
  <si>
    <t>Carbon steel|Standard|320</t>
  </si>
  <si>
    <t>Carbon steel|Unknown - average|320</t>
  </si>
  <si>
    <t>Carbon steel|Unknown - worst case|320</t>
  </si>
  <si>
    <t>Carbon steel|Standard|350</t>
  </si>
  <si>
    <t>Carbon steel|Unknown - average|350</t>
  </si>
  <si>
    <t>Carbon steel|Unknown - worst case|350</t>
  </si>
  <si>
    <t>Carbon steel|Standard|400</t>
  </si>
  <si>
    <t>Carbon steel|Unknown - average|400</t>
  </si>
  <si>
    <t>Carbon steel|Unknown - worst case|400</t>
  </si>
  <si>
    <t>Carbon steel|Standard|450</t>
  </si>
  <si>
    <t>Carbon steel|Unknown - average|450</t>
  </si>
  <si>
    <t>Carbon steel|Unknown - worst case|450</t>
  </si>
  <si>
    <t>Carbon steel|Standard|500</t>
  </si>
  <si>
    <t>Carbon steel|Unknown - average|500</t>
  </si>
  <si>
    <t>Carbon steel|Unknown - worst case|500</t>
  </si>
  <si>
    <t>Carbon steel|Standard|550</t>
  </si>
  <si>
    <t>Carbon steel|Unknown - average|550</t>
  </si>
  <si>
    <t>Carbon steel|Unknown - worst case|550</t>
  </si>
  <si>
    <t>Carbon steel|Standard|600</t>
  </si>
  <si>
    <t>Carbon steel|Unknown - average|600</t>
  </si>
  <si>
    <t>Carbon steel|Unknown - worst case|600</t>
  </si>
  <si>
    <t>Carbon steel|Standard|650</t>
  </si>
  <si>
    <t>Carbon steel|Unknown - average|650</t>
  </si>
  <si>
    <t>Carbon steel|Unknown - worst case|650</t>
  </si>
  <si>
    <t>Carbon steel|Standard|700</t>
  </si>
  <si>
    <t>Carbon steel|Unknown - average|700</t>
  </si>
  <si>
    <t>Carbon steel|Unknown - worst case|700</t>
  </si>
  <si>
    <t>Carbon steel|Standard|750</t>
  </si>
  <si>
    <t>Carbon steel|Unknown - average|750</t>
  </si>
  <si>
    <t>Carbon steel|Unknown - worst case|750</t>
  </si>
  <si>
    <t>Carbon steel|Standard|800</t>
  </si>
  <si>
    <t>Carbon steel|Unknown - average|800</t>
  </si>
  <si>
    <t>Carbon steel|Unknown - worst case|800</t>
  </si>
  <si>
    <t>Carbon steel|Standard|850</t>
  </si>
  <si>
    <t>Carbon steel|Unknown - average|850</t>
  </si>
  <si>
    <t>Carbon steel|Unknown - worst case|850</t>
  </si>
  <si>
    <t>Carbon steel|Standard|900</t>
  </si>
  <si>
    <t>Carbon steel|Unknown - average|900</t>
  </si>
  <si>
    <t>Carbon steel|Unknown - worst case|900</t>
  </si>
  <si>
    <t>Carbon steel|Standard|1000</t>
  </si>
  <si>
    <t>Carbon steel|Unknown - average|1000</t>
  </si>
  <si>
    <t>Carbon steel|Unknown - worst case|1000</t>
  </si>
  <si>
    <t>Carbon steel|Standard|1200</t>
  </si>
  <si>
    <t>Carbon steel|Unknown - average|1200</t>
  </si>
  <si>
    <t>Carbon steel|Unknown - worst case|1200</t>
  </si>
  <si>
    <t>Carbon steel|Standard|1400</t>
  </si>
  <si>
    <t>Carbon steel|Unknown - average|1400</t>
  </si>
  <si>
    <t>Carbon steel|Unknown - worst case|1400</t>
  </si>
  <si>
    <t>Carbon steel|Standard|1600</t>
  </si>
  <si>
    <t>Carbon steel|Unknown - average|1600</t>
  </si>
  <si>
    <t>Carbon steel|Unknown - worst case|1600</t>
  </si>
  <si>
    <t>Carbon steel|Standard|1800</t>
  </si>
  <si>
    <t>Carbon steel|Unknown - average|1800</t>
  </si>
  <si>
    <t>Carbon steel|Unknown - worst case|1800</t>
  </si>
  <si>
    <t>Carbon steel|Standard|2000</t>
  </si>
  <si>
    <t>Carbon steel|Unknown - average|2000</t>
  </si>
  <si>
    <t>Carbon steel|Unknown - worst case|2000</t>
  </si>
  <si>
    <t>Carbon steel|Standard|2200</t>
  </si>
  <si>
    <t>Carbon steel|Unknown - average|2200</t>
  </si>
  <si>
    <t>Carbon steel|Unknown - worst case|2200</t>
  </si>
  <si>
    <t>Copper|Standard|4</t>
  </si>
  <si>
    <t>Copper|Unknown - average|4</t>
  </si>
  <si>
    <t>Copper|Unknown - worst case|4</t>
  </si>
  <si>
    <t>Copper|Standard|6</t>
  </si>
  <si>
    <t>Copper|Unknown - average|6</t>
  </si>
  <si>
    <t>Copper|Unknown - worst case|6</t>
  </si>
  <si>
    <t>Copper|Standard|8</t>
  </si>
  <si>
    <t>Copper|Unknown - average|8</t>
  </si>
  <si>
    <t>Copper|Unknown - worst case|8</t>
  </si>
  <si>
    <t>Copper|Standard|13</t>
  </si>
  <si>
    <t>Copper|Unknown - average|13</t>
  </si>
  <si>
    <t>Copper|Unknown - worst case|13</t>
  </si>
  <si>
    <t>Copper|Standard|16</t>
  </si>
  <si>
    <t>Copper|Unknown - average|16</t>
  </si>
  <si>
    <t>Copper|Unknown - worst case|16</t>
  </si>
  <si>
    <t>Copper|Standard|20</t>
  </si>
  <si>
    <t>Copper|Unknown - average|20</t>
  </si>
  <si>
    <t>Copper|Unknown - worst case|20</t>
  </si>
  <si>
    <t>INACTIVE IN FINAL v17.55 ACOUSTIC ROUTE — retained for historical/source traceability only. Copper is assessable by Engineering Best-Practice and Direct Wall/NDT.</t>
  </si>
  <si>
    <t>Copper|Standard|26</t>
  </si>
  <si>
    <t>Copper|Unknown - average|26</t>
  </si>
  <si>
    <t>Copper|Unknown - worst case|26</t>
  </si>
  <si>
    <t>Copper|Standard|32</t>
  </si>
  <si>
    <t>Copper|Unknown - average|32</t>
  </si>
  <si>
    <t>Copper|Unknown - worst case|32</t>
  </si>
  <si>
    <t>Copper|Standard|39</t>
  </si>
  <si>
    <t>Copper|Unknown - average|39</t>
  </si>
  <si>
    <t>Copper|Unknown - worst case|39</t>
  </si>
  <si>
    <t>Copper|Standard|50</t>
  </si>
  <si>
    <t>Copper|Unknown - average|50</t>
  </si>
  <si>
    <t>Copper|Unknown - worst case|50</t>
  </si>
  <si>
    <t>Copper|Standard|72</t>
  </si>
  <si>
    <t>Copper|Unknown - average|72</t>
  </si>
  <si>
    <t>Copper|Unknown - worst case|72</t>
  </si>
  <si>
    <t>Copper|Standard|103</t>
  </si>
  <si>
    <t>Copper|Unknown - average|103</t>
  </si>
  <si>
    <t>Copper|Unknown - worst case|103</t>
  </si>
  <si>
    <t>Ductile iron|Class K12|80</t>
  </si>
  <si>
    <t>Ductile iron|Class K14|80</t>
  </si>
  <si>
    <t>Ductile iron|Class K9|80</t>
  </si>
  <si>
    <t>Ductile iron|Unknown - average|80</t>
  </si>
  <si>
    <t>Ductile iron|Unknown - worst case|80</t>
  </si>
  <si>
    <t>Ductile iron|Class K12|100</t>
  </si>
  <si>
    <t>Ductile iron|Class K14|100</t>
  </si>
  <si>
    <t>Ductile iron|Class K9|100</t>
  </si>
  <si>
    <t>Ductile iron|Unknown - average|100</t>
  </si>
  <si>
    <t>Ductile iron|Unknown - worst case|100</t>
  </si>
  <si>
    <t>Ductile iron|Class K12|150</t>
  </si>
  <si>
    <t>Ductile iron|Class K14|150</t>
  </si>
  <si>
    <t>Ductile iron|Class K9|150</t>
  </si>
  <si>
    <t>Ductile iron|Unknown - average|150</t>
  </si>
  <si>
    <t>Ductile iron|Unknown - worst case|150</t>
  </si>
  <si>
    <t>Ductile iron|Class K12|200</t>
  </si>
  <si>
    <t>Ductile iron|Class K14|200</t>
  </si>
  <si>
    <t>Ductile iron|Class K9|200</t>
  </si>
  <si>
    <t>Ductile iron|Unknown - average|200</t>
  </si>
  <si>
    <t>Ductile iron|Unknown - worst case|200</t>
  </si>
  <si>
    <t>Ductile iron|Class K12|250</t>
  </si>
  <si>
    <t>Ductile iron|Class K14|250</t>
  </si>
  <si>
    <t>Ductile iron|Class K9|250</t>
  </si>
  <si>
    <t>Ductile iron|Unknown - average|250</t>
  </si>
  <si>
    <t>Ductile iron|Unknown - worst case|250</t>
  </si>
  <si>
    <t>Ductile iron|Class K12|300</t>
  </si>
  <si>
    <t>Ductile iron|Class K14|300</t>
  </si>
  <si>
    <t>Ductile iron|Class K9|300</t>
  </si>
  <si>
    <t>Ductile iron|Unknown - average|300</t>
  </si>
  <si>
    <t>Ductile iron|Unknown - worst case|300</t>
  </si>
  <si>
    <t>Ductile iron|Class K12|350</t>
  </si>
  <si>
    <t>Ductile iron|Class K14|350</t>
  </si>
  <si>
    <t>Ductile iron|Class K9|350</t>
  </si>
  <si>
    <t>Ductile iron|Unknown - average|350</t>
  </si>
  <si>
    <t>Ductile iron|Unknown - worst case|350</t>
  </si>
  <si>
    <t>Ductile iron|Class K12|400</t>
  </si>
  <si>
    <t>Ductile iron|Class K14|400</t>
  </si>
  <si>
    <t>Ductile iron|Class K9|400</t>
  </si>
  <si>
    <t>Ductile iron|Unknown - average|400</t>
  </si>
  <si>
    <t>Ductile iron|Unknown - worst case|400</t>
  </si>
  <si>
    <t>Ductile iron|Class K12|450</t>
  </si>
  <si>
    <t>Ductile iron|Class K14|450</t>
  </si>
  <si>
    <t>Ductile iron|Class K9|450</t>
  </si>
  <si>
    <t>Ductile iron|Unknown - average|450</t>
  </si>
  <si>
    <t>Ductile iron|Unknown - worst case|450</t>
  </si>
  <si>
    <t>Ductile iron|Class K12|500</t>
  </si>
  <si>
    <t>Ductile iron|Class K14|500</t>
  </si>
  <si>
    <t>Ductile iron|Class K9|500</t>
  </si>
  <si>
    <t>Ductile iron|Unknown - average|500</t>
  </si>
  <si>
    <t>Ductile iron|Unknown - worst case|500</t>
  </si>
  <si>
    <t>Ductile iron|Class K12|600</t>
  </si>
  <si>
    <t>Ductile iron|Class K14|600</t>
  </si>
  <si>
    <t>Ductile iron|Class K9|600</t>
  </si>
  <si>
    <t>Ductile iron|Unknown - average|600</t>
  </si>
  <si>
    <t>Ductile iron|Unknown - worst case|600</t>
  </si>
  <si>
    <t>Ductile iron|Class K12|700</t>
  </si>
  <si>
    <t>Ductile iron|Class K14|700</t>
  </si>
  <si>
    <t>Ductile iron|Class K9|700</t>
  </si>
  <si>
    <t>Ductile iron|Unknown - average|700</t>
  </si>
  <si>
    <t>Ductile iron|Unknown - worst case|700</t>
  </si>
  <si>
    <t>Ductile iron|Class K12|800</t>
  </si>
  <si>
    <t>Ductile iron|Class K14|800</t>
  </si>
  <si>
    <t>Ductile iron|Class K9|800</t>
  </si>
  <si>
    <t>Ductile iron|Unknown - average|800</t>
  </si>
  <si>
    <t>Ductile iron|Unknown - worst case|800</t>
  </si>
  <si>
    <t>Ductile iron|Class K12|900</t>
  </si>
  <si>
    <t>Ductile iron|Class K14|900</t>
  </si>
  <si>
    <t>Ductile iron|Class K9|900</t>
  </si>
  <si>
    <t>Ductile iron|Unknown - average|900</t>
  </si>
  <si>
    <t>Ductile iron|Unknown - worst case|900</t>
  </si>
  <si>
    <t>Ductile iron|Class K12|1000</t>
  </si>
  <si>
    <t>Ductile iron|Class K14|1000</t>
  </si>
  <si>
    <t>Ductile iron|Class K9|1000</t>
  </si>
  <si>
    <t>Ductile iron|Unknown - average|1000</t>
  </si>
  <si>
    <t>Ductile iron|Unknown - worst case|1000</t>
  </si>
  <si>
    <t>Ductile iron|Class K12|1100</t>
  </si>
  <si>
    <t>Ductile iron|Class K14|1100</t>
  </si>
  <si>
    <t>Ductile iron|Class K9|1100</t>
  </si>
  <si>
    <t>Ductile iron|Unknown - average|1100</t>
  </si>
  <si>
    <t>Ductile iron|Unknown - worst case|1100</t>
  </si>
  <si>
    <t>Ductile iron|Class K12|1200</t>
  </si>
  <si>
    <t>Ductile iron|Class K14|1200</t>
  </si>
  <si>
    <t>Ductile iron|Class K9|1200</t>
  </si>
  <si>
    <t>Ductile iron|Unknown - average|1200</t>
  </si>
  <si>
    <t>Ductile iron|Unknown - worst case|1200</t>
  </si>
  <si>
    <t>Ductile iron|Class K12|1400</t>
  </si>
  <si>
    <t>Ductile iron|Class K14|1400</t>
  </si>
  <si>
    <t>Ductile iron|Class K9|1400</t>
  </si>
  <si>
    <t>Ductile iron|Unknown - average|1400</t>
  </si>
  <si>
    <t>Ductile iron|Unknown - worst case|1400</t>
  </si>
  <si>
    <t>Ductile iron|Class K12|1600</t>
  </si>
  <si>
    <t>Ductile iron|Class K14|1600</t>
  </si>
  <si>
    <t>Ductile iron|Class K9|1600</t>
  </si>
  <si>
    <t>Ductile iron|Unknown - average|1600</t>
  </si>
  <si>
    <t>Ductile iron|Unknown - worst case|1600</t>
  </si>
  <si>
    <t>Grey cast iron|Class 1|80</t>
  </si>
  <si>
    <t>Grey cast iron|Class 2|80</t>
  </si>
  <si>
    <t>Grey cast iron|Class 3|80</t>
  </si>
  <si>
    <t>Class 4</t>
  </si>
  <si>
    <t>Grey cast iron|Class 4|80</t>
  </si>
  <si>
    <t>Grey cast iron|Unknown - average|80</t>
  </si>
  <si>
    <t>Grey cast iron|Unknown - worst case|80</t>
  </si>
  <si>
    <t>Grey cast iron|Class 1|100</t>
  </si>
  <si>
    <t>Grey cast iron|Class 2|100</t>
  </si>
  <si>
    <t>Grey cast iron|Class 3|100</t>
  </si>
  <si>
    <t>Grey cast iron|Class 4|100</t>
  </si>
  <si>
    <t>Grey cast iron|Unknown - average|100</t>
  </si>
  <si>
    <t>Grey cast iron|Unknown - worst case|100</t>
  </si>
  <si>
    <t>Grey cast iron|Class 1|150</t>
  </si>
  <si>
    <t>Grey cast iron|Class 2|150</t>
  </si>
  <si>
    <t>Grey cast iron|Class 3|150</t>
  </si>
  <si>
    <t>Grey cast iron|Class 4|150</t>
  </si>
  <si>
    <t>Grey cast iron|Unknown - average|150</t>
  </si>
  <si>
    <t>Grey cast iron|Unknown - worst case|150</t>
  </si>
  <si>
    <t>Grey cast iron|Class 1|200</t>
  </si>
  <si>
    <t>Grey cast iron|Class 2|200</t>
  </si>
  <si>
    <t>Grey cast iron|Class 3|200</t>
  </si>
  <si>
    <t>Grey cast iron|Class 4|200</t>
  </si>
  <si>
    <t>Grey cast iron|Unknown - average|200</t>
  </si>
  <si>
    <t>Grey cast iron|Unknown - worst case|200</t>
  </si>
  <si>
    <t>Grey cast iron|Class 1|250</t>
  </si>
  <si>
    <t>Grey cast iron|Class 2|250</t>
  </si>
  <si>
    <t>Grey cast iron|Class 3|250</t>
  </si>
  <si>
    <t>Grey cast iron|Class 4|250</t>
  </si>
  <si>
    <t>Grey cast iron|Unknown - average|250</t>
  </si>
  <si>
    <t>Grey cast iron|Unknown - worst case|250</t>
  </si>
  <si>
    <t>Grey cast iron|Class 1|300</t>
  </si>
  <si>
    <t>Grey cast iron|Class 2|300</t>
  </si>
  <si>
    <t>Grey cast iron|Class 3|300</t>
  </si>
  <si>
    <t>Grey cast iron|Class 4|300</t>
  </si>
  <si>
    <t>Grey cast iron|Unknown - average|300</t>
  </si>
  <si>
    <t>Grey cast iron|Unknown - worst case|300</t>
  </si>
  <si>
    <t>Grey cast iron|Class 1|400</t>
  </si>
  <si>
    <t>Grey cast iron|Class 2|400</t>
  </si>
  <si>
    <t>Grey cast iron|Class 3|400</t>
  </si>
  <si>
    <t>Grey cast iron|Unknown - average|400</t>
  </si>
  <si>
    <t>Grey cast iron|Unknown - worst case|400</t>
  </si>
  <si>
    <t>BS 4622 (1970) source row corrected to 350 mm in FINAL v17.55; externally cross-checked against Fuji LC-2500 and ADS Eureka2R cast-iron correlator tables.</t>
  </si>
  <si>
    <t>Grey cast iron|Class 1|350</t>
  </si>
  <si>
    <t>Grey cast iron|Class 1|450</t>
  </si>
  <si>
    <t>Grey cast iron|Class 2|350</t>
  </si>
  <si>
    <t>Grey cast iron|Class 2|450</t>
  </si>
  <si>
    <t>Grey cast iron|Class 3|350</t>
  </si>
  <si>
    <t>Grey cast iron|Class 3|450</t>
  </si>
  <si>
    <t>Derived from true 450 mm Class 1-3 references after correction of separate 350 mm BS 4622 source row.</t>
  </si>
  <si>
    <t>Grey cast iron|Unknown - average|450</t>
  </si>
  <si>
    <t>Derived from true 450 mm minimum-wall class after correction of separate 350 mm BS 4622 source row.</t>
  </si>
  <si>
    <t>Grey cast iron|Unknown - worst case|450</t>
  </si>
  <si>
    <t>Grey cast iron|Class 1|500</t>
  </si>
  <si>
    <t>Grey cast iron|Class 2|500</t>
  </si>
  <si>
    <t>Grey cast iron|Class 3|500</t>
  </si>
  <si>
    <t>Grey cast iron|Unknown - average|500</t>
  </si>
  <si>
    <t>Grey cast iron|Unknown - worst case|500</t>
  </si>
  <si>
    <t>Grey cast iron|Class 1|600</t>
  </si>
  <si>
    <t>Grey cast iron|Class 2|600</t>
  </si>
  <si>
    <t>Grey cast iron|Class 3|600</t>
  </si>
  <si>
    <t>Grey cast iron|Unknown - average|600</t>
  </si>
  <si>
    <t>Grey cast iron|Unknown - worst case|600</t>
  </si>
  <si>
    <t>Grey cast iron|Class 1|700</t>
  </si>
  <si>
    <t>Grey cast iron|Class 2|700</t>
  </si>
  <si>
    <t>Grey cast iron|Class 3|700</t>
  </si>
  <si>
    <t>Grey cast iron|Unknown - average|700</t>
  </si>
  <si>
    <t>Grey cast iron|Unknown - worst case|700</t>
  </si>
  <si>
    <t>Derived from corrected 350 mm Class 1-3 references; BS 4622 (1970); externally benchmarked.</t>
  </si>
  <si>
    <t>Grey cast iron|Unknown - average|350</t>
  </si>
  <si>
    <t>BS 1387:1985 medium; embedded Source Metallic Pipes; https://www.asp-jo.com/seam-welded-steel-pipes-bs-1387-bs-en-10255-</t>
  </si>
  <si>
    <t>Derived from corrected 350 mm minimum-wall class; BS 4622 (1970); externally benchmarked.</t>
  </si>
  <si>
    <t>Grey cast iron|Unknown - worst case|350</t>
  </si>
  <si>
    <t>Ductile Iron Pipes</t>
  </si>
  <si>
    <t>Internal</t>
  </si>
  <si>
    <t>Wall</t>
  </si>
  <si>
    <t>Size</t>
  </si>
  <si>
    <t>Grey Cast Iron</t>
  </si>
  <si>
    <t>-</t>
  </si>
  <si>
    <t>Steel</t>
  </si>
  <si>
    <t>Spun Reinforced Concrete</t>
  </si>
  <si>
    <t>Class L</t>
  </si>
  <si>
    <t>Class M</t>
  </si>
  <si>
    <t>Class H</t>
  </si>
  <si>
    <t>Asbestos Cement</t>
  </si>
  <si>
    <t>Class 6</t>
  </si>
  <si>
    <t>Wall Size</t>
  </si>
  <si>
    <t>Class 10</t>
  </si>
  <si>
    <t>Class 12</t>
  </si>
  <si>
    <t>Class 15</t>
  </si>
  <si>
    <t>Class 18</t>
  </si>
  <si>
    <t>Class 20</t>
  </si>
  <si>
    <t>Class 24</t>
  </si>
  <si>
    <t>Class 25</t>
  </si>
  <si>
    <t>Class 30</t>
  </si>
  <si>
    <t>Class 36</t>
  </si>
  <si>
    <t>Imperial Sizes - Asbestos Cement</t>
  </si>
  <si>
    <t>Class A</t>
  </si>
  <si>
    <t>8"</t>
  </si>
  <si>
    <t>9"</t>
  </si>
  <si>
    <t>10"</t>
  </si>
  <si>
    <t>12"</t>
  </si>
  <si>
    <t>Class B</t>
  </si>
  <si>
    <t>4"</t>
  </si>
  <si>
    <t>6"</t>
  </si>
  <si>
    <t>Class C</t>
  </si>
  <si>
    <t>3"</t>
  </si>
  <si>
    <t>Class D</t>
  </si>
  <si>
    <t>Lead</t>
  </si>
  <si>
    <t>pressure rating</t>
  </si>
  <si>
    <t>4.5 Bar</t>
  </si>
  <si>
    <t>7.5 Bar</t>
  </si>
  <si>
    <t>9 Bar</t>
  </si>
  <si>
    <t>10.5 Bar</t>
  </si>
  <si>
    <t>Lead Silver/Copper Alloy</t>
  </si>
  <si>
    <t>Glass Reinforced Plastic</t>
  </si>
  <si>
    <t>6 Bar</t>
  </si>
  <si>
    <t>10 Bar</t>
  </si>
  <si>
    <t>16 Bar</t>
  </si>
  <si>
    <t>20 Bar</t>
  </si>
  <si>
    <t>24 Bar</t>
  </si>
  <si>
    <t>Polyethylene Pipe</t>
  </si>
  <si>
    <t>Velocity Values</t>
  </si>
  <si>
    <t>M.D.P.E. (PE80)</t>
  </si>
  <si>
    <t>H.D.P.E.</t>
  </si>
  <si>
    <t>H.P.P.E. (PE100)</t>
  </si>
  <si>
    <t>SDR17.6</t>
  </si>
  <si>
    <t>SDR11</t>
  </si>
  <si>
    <t>DIA.</t>
  </si>
  <si>
    <t>LOW - HIGH</t>
  </si>
  <si>
    <t>Vitreous Clay</t>
  </si>
  <si>
    <t>Pre-stressed Concrete</t>
  </si>
  <si>
    <t>PVC</t>
  </si>
  <si>
    <t>Class E</t>
  </si>
  <si>
    <t>V.13</t>
  </si>
  <si>
    <t>12 Bar</t>
  </si>
  <si>
    <t>15 Bar</t>
  </si>
  <si>
    <t>SOURCE SHEET: Vertical cast iron</t>
  </si>
  <si>
    <t>BS 78: 1938 Specification for Cast Iron Pipes (vertically cast)</t>
  </si>
  <si>
    <t>All measurements are in inches</t>
  </si>
  <si>
    <t>Class B (400ft)</t>
  </si>
  <si>
    <t>Class C (600ft)</t>
  </si>
  <si>
    <t>Class D (800ft)</t>
  </si>
  <si>
    <t>Nominal Diameter</t>
  </si>
  <si>
    <t>Thickness</t>
  </si>
  <si>
    <t>External Diameter</t>
  </si>
  <si>
    <t>Metric equivalent</t>
  </si>
  <si>
    <t>Manufacturing Tolerances for Vertically Cast Iron Pipes to BS 78 (1917 and 1938)
Manufacturing Tolerances for Vertically Cast Iron Pipes to BS78 (1917 and 1938)</t>
  </si>
  <si>
    <t>Class B - Test Head 400ft</t>
  </si>
  <si>
    <t>Class C - Test Head 600ft</t>
  </si>
  <si>
    <t>Class D - Test Head 800ft</t>
  </si>
  <si>
    <t>Nominal Internal Diameter (in)</t>
  </si>
  <si>
    <t>External Diameter (mm)</t>
  </si>
  <si>
    <t>Min External Diameter (mm)</t>
  </si>
  <si>
    <t>Max External Diameter (mm)</t>
  </si>
  <si>
    <t>Min Wall Thickness (mm)</t>
  </si>
  <si>
    <t>Nominal Wall Thickness (mm)</t>
  </si>
  <si>
    <t>400 ft</t>
  </si>
  <si>
    <t>600ft</t>
  </si>
  <si>
    <t>800ft</t>
  </si>
  <si>
    <t>Metric Equivalent</t>
  </si>
  <si>
    <t>Manufacturing Tolerances for Vertically Cast Iron Pipes to BS 78 (1961)
Manufacturing Tolerances for Vertically Cast Iron Pipes to BS78 (1917 and 1938)</t>
  </si>
  <si>
    <t>Class B - Test Head 500ft</t>
  </si>
  <si>
    <t>Class C - Test Head 700ft</t>
  </si>
  <si>
    <t>Class D - Test Head 900ft</t>
  </si>
  <si>
    <t>500ft</t>
  </si>
  <si>
    <t>700ft</t>
  </si>
  <si>
    <t>900 ft</t>
  </si>
  <si>
    <t>901 ft</t>
  </si>
  <si>
    <t>902 ft</t>
  </si>
  <si>
    <t>903 ft</t>
  </si>
  <si>
    <t>904 ft</t>
  </si>
  <si>
    <t>905 ft</t>
  </si>
  <si>
    <t>906 ft</t>
  </si>
  <si>
    <t>907 ft</t>
  </si>
  <si>
    <t>908 ft</t>
  </si>
  <si>
    <t>909 ft</t>
  </si>
  <si>
    <t>910 ft</t>
  </si>
  <si>
    <t>911 ft</t>
  </si>
  <si>
    <t>912 ft</t>
  </si>
  <si>
    <t>913 ft</t>
  </si>
  <si>
    <t>914 ft</t>
  </si>
  <si>
    <t>915 ft</t>
  </si>
  <si>
    <t>916 ft</t>
  </si>
  <si>
    <t>917 ft</t>
  </si>
  <si>
    <t>918 ft</t>
  </si>
  <si>
    <t>919 ft</t>
  </si>
  <si>
    <t>920 ft</t>
  </si>
  <si>
    <t>921 ft</t>
  </si>
  <si>
    <t>922 ft</t>
  </si>
  <si>
    <t>923 ft</t>
  </si>
  <si>
    <t>CI</t>
  </si>
  <si>
    <t>Vertical Cast Iron</t>
  </si>
  <si>
    <t>I</t>
  </si>
  <si>
    <t>400ft</t>
  </si>
  <si>
    <t>BS 78 (1917)</t>
  </si>
  <si>
    <t>ME</t>
  </si>
  <si>
    <t>BS 78 (1961)</t>
  </si>
  <si>
    <t>SOURCE SHEET: Spun Iron</t>
  </si>
  <si>
    <t>BS1211: Specification for Spun Iron Pipes</t>
  </si>
  <si>
    <t>Manufacturing Tolerances for Spun Iron Pipes to BS1211 (1945, 1958)</t>
  </si>
  <si>
    <t>All Classes</t>
  </si>
  <si>
    <t>Class D - Test Head 800ft
Class D - Test Head 800ft.</t>
  </si>
  <si>
    <t>External Diameter (inches)</t>
  </si>
  <si>
    <t>Min External Diameter (inches)</t>
  </si>
  <si>
    <t>Max External Diameter (inches)</t>
  </si>
  <si>
    <t>Nominal Wall Thickness (inches)</t>
  </si>
  <si>
    <t>Min Wall Thickness (inches)</t>
  </si>
  <si>
    <t>SI</t>
  </si>
  <si>
    <t>Spun Iron</t>
  </si>
  <si>
    <t>BS 1211 (1945)</t>
  </si>
  <si>
    <t>SOURCE SHEET: Grey Cast Iron</t>
  </si>
  <si>
    <t>Class 1 - Test Pressure 16bar</t>
  </si>
  <si>
    <t>Class 2 - Test Pressure 20bar</t>
  </si>
  <si>
    <t>Class 3 - Test Pressure 25bar</t>
  </si>
  <si>
    <t>Class 4 -Test Pressure 20bar</t>
  </si>
  <si>
    <t>Standard Pipe</t>
  </si>
  <si>
    <t>Standard Pipe &amp; Cast on Flanges</t>
  </si>
  <si>
    <t>Screwed on Flanges</t>
  </si>
  <si>
    <t>Cast on Flanges</t>
  </si>
  <si>
    <t>Nominal Internal Diameter (mm)</t>
  </si>
  <si>
    <t>Class1</t>
  </si>
  <si>
    <t>Class 3 cast</t>
  </si>
  <si>
    <t>Class 3 Screw</t>
  </si>
  <si>
    <t>Name</t>
  </si>
  <si>
    <t>Dia</t>
  </si>
  <si>
    <t>Metric</t>
  </si>
  <si>
    <t>Type</t>
  </si>
  <si>
    <t>Bar Rating</t>
  </si>
  <si>
    <t>Ext Dia</t>
  </si>
  <si>
    <t>Int Dia</t>
  </si>
  <si>
    <t>Nominal wall thickness</t>
  </si>
  <si>
    <t>Velocity  Msec</t>
  </si>
  <si>
    <t>GCI</t>
  </si>
  <si>
    <t>M</t>
  </si>
  <si>
    <t>BS 4622 (1970)</t>
  </si>
  <si>
    <t>SOURCE SHEET: Ductile Iron</t>
  </si>
  <si>
    <t>BS4772 &amp; BSEN545: Specification for Ductile Iron Pipes</t>
  </si>
  <si>
    <t>ALL VALUES ARE IN METRIC</t>
  </si>
  <si>
    <t>Manufacturing Tolerances for Ductile Iron Pipes  BS4772 (1980)</t>
  </si>
  <si>
    <t>Class K 9</t>
  </si>
  <si>
    <t>Class K 12</t>
  </si>
  <si>
    <t>Nominal External Diameter (mm)</t>
  </si>
  <si>
    <t>Max Wall Thickness (mm)</t>
  </si>
  <si>
    <t>k9 flex</t>
  </si>
  <si>
    <t>k9 weld</t>
  </si>
  <si>
    <t>k12 cast</t>
  </si>
  <si>
    <t>k12 screw</t>
  </si>
  <si>
    <t>Manufacturing Tolerances for Ductile Iron Pipes  BS4772 (1988)</t>
  </si>
  <si>
    <t>Avg Wall Thickness</t>
  </si>
  <si>
    <t>Velocity in M/S at Maximum wall Thickness</t>
  </si>
  <si>
    <t>Manufacturing Tolerances for Ductile Iron Pipes BS EN545 (1995)</t>
  </si>
  <si>
    <t>K 9</t>
  </si>
  <si>
    <t>K 10</t>
  </si>
  <si>
    <t>Code</t>
  </si>
  <si>
    <t>K9</t>
  </si>
  <si>
    <t>K10</t>
  </si>
  <si>
    <t>DI</t>
  </si>
  <si>
    <t>Ductile Iron</t>
  </si>
  <si>
    <t>BS 4772 (1980)</t>
  </si>
  <si>
    <t>BS 4772 (1988)</t>
  </si>
  <si>
    <t>BS EN 545 (1995)</t>
  </si>
  <si>
    <t>SOURCE SHEET: Steel</t>
  </si>
  <si>
    <t>BS 534:1990 Specification for steel pipes</t>
  </si>
  <si>
    <t>Nominal diameter (in)</t>
  </si>
  <si>
    <t>Outside diameter (in)</t>
  </si>
  <si>
    <t>Minimum Nominal Thickness (in)</t>
  </si>
  <si>
    <t>Nominal thickness (mm)</t>
  </si>
  <si>
    <t>Internal Diameter (mm)</t>
  </si>
  <si>
    <t>Corrected  Internal Diameter (mm)</t>
  </si>
  <si>
    <t>Min</t>
  </si>
  <si>
    <t>Max</t>
  </si>
  <si>
    <t>SOURCE SHEET: Galvanised</t>
  </si>
  <si>
    <t>BS 789: 1938 Specification for Steel Tubes and Tubulars</t>
  </si>
  <si>
    <t>Nominal Diameter (in)</t>
  </si>
  <si>
    <t>Thickness (in)</t>
  </si>
  <si>
    <t>Outside Diameter (in)</t>
  </si>
  <si>
    <t>1/8</t>
  </si>
  <si>
    <t>1/4</t>
  </si>
  <si>
    <t>3/8</t>
  </si>
  <si>
    <t>1/2</t>
  </si>
  <si>
    <t>3/4</t>
  </si>
  <si>
    <t>1 1/4</t>
  </si>
  <si>
    <t>1 1/2</t>
  </si>
  <si>
    <t>2 1/2</t>
  </si>
  <si>
    <t>3 1/2</t>
  </si>
  <si>
    <t>BS 1387: 1985 Specification for Screwed and socketed steel tubes and tubulars for plain end steel tubes suitable for welding or for screwing to BS 21 pipe threads</t>
  </si>
  <si>
    <t>(Supercedes the 1967 version)</t>
  </si>
  <si>
    <t>Nominal Diameter (mm)</t>
  </si>
  <si>
    <t>Thickness (mm)</t>
  </si>
  <si>
    <t>Outside Diameter (mm)</t>
  </si>
  <si>
    <t>UNIT SYSTEM SELECTION</t>
  </si>
  <si>
    <t>UNIT CONVERSION CONSTANT</t>
  </si>
  <si>
    <t>Setting</t>
  </si>
  <si>
    <t>Selection / explanation</t>
  </si>
  <si>
    <t>km to m</t>
  </si>
  <si>
    <t>PRIMARY UNIT SYSTEM</t>
  </si>
  <si>
    <t>mile to m</t>
  </si>
  <si>
    <t>Where to change it</t>
  </si>
  <si>
    <t>Use the large CHANGE UNITS FIRST control at the top of the Dashboard, before Location and Survey Date inputs.</t>
  </si>
  <si>
    <t>inch to mm</t>
  </si>
  <si>
    <t>Available options</t>
  </si>
  <si>
    <t>Metric / Imperial</t>
  </si>
  <si>
    <t>psi to Pa</t>
  </si>
  <si>
    <t>Conversion architecture</t>
  </si>
  <si>
    <t>Imperial inputs use miles, inches and psi and are converted to the same metric engineering calculation engine. A separate US Imperial mode is unnecessary because this model contains no gallon/volume conversion. Acoustic velocity remains m/ms.</t>
  </si>
  <si>
    <t>psi to internal m head</t>
  </si>
  <si>
    <t>DISPLAY / INPUT CONVERSIONS</t>
  </si>
  <si>
    <t>100 mile to 100 km rate divisor</t>
  </si>
  <si>
    <t>Length</t>
  </si>
  <si>
    <t>Metric: km | Imperial: miles</t>
  </si>
  <si>
    <t>Metric: exact reference diameter in mm | Imperial: rounded inch display label with exact metric reference in brackets; exact metric reference controls calculations</t>
  </si>
  <si>
    <t>Metric: measured wall / point thickness in mm | Imperial: measured wall / point thickness in decimal inches; converted internally at 25.4 mm/in</t>
  </si>
  <si>
    <t>Pressure / surge</t>
  </si>
  <si>
    <t>Metric: m head | Imperial: psi</t>
  </si>
  <si>
    <t>Metric: bursts/100 km/year | Imperial: bursts/100 miles/year</t>
  </si>
  <si>
    <t>m/ms in ALL modes — velocity physics/reference tables are not converted</t>
  </si>
  <si>
    <t>IMPERIAL MODE STATUS</t>
  </si>
  <si>
    <t>Miles, inches and psi. Diameter dropdown uses rounded inch labels for readability while retaining the exact metric reference for calculation.</t>
  </si>
  <si>
    <t>Why no separate US Imperial option</t>
  </si>
  <si>
    <t>For the quantities used by this model, Imperial and US customary calculations are the same: statute miles, inches and psi. They differ materially when units such as UK and US gallons are introduced, but this model contains no volume input or output.</t>
  </si>
  <si>
    <t>Imperial displayed bursts/100 miles/year are converted internally to bursts/100 km/year before applying the model thresholds.</t>
  </si>
  <si>
    <t>PIPELINE CONDITION MODEL — v17.25 FULL QA &amp; VALIDATION</t>
  </si>
  <si>
    <t>Area</t>
  </si>
  <si>
    <t>Check</t>
  </si>
  <si>
    <t>Finding / basis</t>
  </si>
  <si>
    <t>Status</t>
  </si>
  <si>
    <t>Action</t>
  </si>
  <si>
    <t>Unit modes</t>
  </si>
  <si>
    <t>Metric vs Imperial vs US Imperial</t>
  </si>
  <si>
    <t>Imperial and US Imperial are intentionally mathematically identical for the quantities currently used: statute miles, inches and psi. Their future distinction is nominal pipe-size/standard recognition, not conversion physics.</t>
  </si>
  <si>
    <t>No separate formula fork required.</t>
  </si>
  <si>
    <t>Selector integrity</t>
  </si>
  <si>
    <t>All active unit-dependent formulas</t>
  </si>
  <si>
    <t>Primary selector is Dashboard B2. Stale dependencies on former selector cell E3 were removed.</t>
  </si>
  <si>
    <t>Fixed in v16.1.</t>
  </si>
  <si>
    <t>Location integrity</t>
  </si>
  <si>
    <t>Location mapping</t>
  </si>
  <si>
    <t>Calc Engine and Failure Curve now read Dashboard E3 as Location; prior accidental link to unit selector removed.</t>
  </si>
  <si>
    <t>Length conversion</t>
  </si>
  <si>
    <t>km / miles to internal metres</t>
  </si>
  <si>
    <t>1 km = 1000 m; 1 mile = 1609.344 m. Failure-rate display uses entered length units; engineering engine remains metric.</t>
  </si>
  <si>
    <t>Central constants used.</t>
  </si>
  <si>
    <t>1 inch = 25.4 mm. Direct wall and diameter convert before any engineering calculation.</t>
  </si>
  <si>
    <t>Central constant used.</t>
  </si>
  <si>
    <t>psi to internal metres head</t>
  </si>
  <si>
    <t>psi is converted via pressure in Pa divided by model water density × gravity, so Imperial/US pressure is physically consistent with the model's own density and gravity assumptions.</t>
  </si>
  <si>
    <t>Formula-derived conversion; no disconnected magic factor.</t>
  </si>
  <si>
    <t>Failure-rate conversion</t>
  </si>
  <si>
    <t>/100 miles to /100 km</t>
  </si>
  <si>
    <t>Imperial/US display rate converts to canonical /100 km before Nil/Minimal/Average/Severe thresholds are applied.</t>
  </si>
  <si>
    <t>Threshold meaning preserved.</t>
  </si>
  <si>
    <t>Nil = 0; Minimal &gt;0–12.5; Average &gt;12.5–20; Severe &gt;20 bursts/100 km/year.</t>
  </si>
  <si>
    <t>Screening assumption; utility calibration recommended.</t>
  </si>
  <si>
    <t>Fixed assessment date</t>
  </si>
  <si>
    <t>Entered Survey Date controls age. It remains saved in Excel. TODAY() is used only as fallback if Survey Date is blank.</t>
  </si>
  <si>
    <t>Reproducible when date is entered.</t>
  </si>
  <si>
    <t>Wall &gt; valid velocity &gt; engineering assessment</t>
  </si>
  <si>
    <t>Explicit method selector governs condition evidence. Direct Wall/NDT, Measured Acoustic Velocity and Engineering Best-Practice are separate routes; inactive measurement values are retained for audit and ignored by life formulas.</t>
  </si>
  <si>
    <t>Route isolation tested across all three methods.</t>
  </si>
  <si>
    <t>Reference ratio / condition bands</t>
  </si>
  <si>
    <t>No artificial 35% floor. Reference unavailable returns blank / warning. RED at &lt;=25% reference or when planning wall &lt;= pressure-required wall.</t>
  </si>
  <si>
    <t>Logic consistent.</t>
  </si>
  <si>
    <t>Plausibility and life control</t>
  </si>
  <si>
    <t>Measured Acoustic Velocity controls life only when explicitly selected, physically valid and supported by a usable metallic calibration. Invalid selected velocity blocks the assessment rather than silently falling back.</t>
  </si>
  <si>
    <t>Monotonic deterioration</t>
  </si>
  <si>
    <t>Low cannot extend life above normal baseline; Moderate baseline; High/Severe reduce life; Unknown Worst = Severe.</t>
  </si>
  <si>
    <t>Current / what-if / service floor</t>
  </si>
  <si>
    <t>Pressure reduction can improve calculated life but is capped by chronological nominal remaining life. Below minimum service pressure is flagged operationally unacceptable.</t>
  </si>
  <si>
    <t>Transient / cycling</t>
  </si>
  <si>
    <t>Monotonic severity</t>
  </si>
  <si>
    <t>Worse cycling/transients reduce life. Intermittent supply forces at least Moderate cycling; metallic also gets 5% planning allowance.</t>
  </si>
  <si>
    <t>Mechanism-based screening assumption.</t>
  </si>
  <si>
    <t>Life uncertainty</t>
  </si>
  <si>
    <t>Planning ranges</t>
  </si>
  <si>
    <t>Direct Wall/NDT ±15%; valid measured acoustic velocity ±20%; Engineering Best-Practice ±30%. Post-nominal measured evidence is capped at the 25-year engineering-review ceiling; otherwise upper life is capped at nominal chronological remaining life.</t>
  </si>
  <si>
    <t>Planning bands, not statistical confidence intervals.</t>
  </si>
  <si>
    <t>Planning thresholds</t>
  </si>
  <si>
    <t>RED &lt;=5 years; AMBER &gt;5–10; GREEN &gt;10. Measured evidence can override general life-range RAG.</t>
  </si>
  <si>
    <t>Consistent.</t>
  </si>
  <si>
    <t>Metric / Imperial / US display</t>
  </si>
  <si>
    <t>Curve now changes pressure display to psi for Imperial/US while preserving identical physical 10–110 m-head points internally.</t>
  </si>
  <si>
    <t>LIMITATION</t>
  </si>
  <si>
    <t>4 in, 6 in, 8 in etc.</t>
  </si>
  <si>
    <t>Current Imperial/US diameter input is a physical inch value converted to mm. Nominal pipe-size recognition is not yet implemented; e.g. nominal 4 in must not be assumed to equal exact 101.6 mm internal diameter for velocity lookup.</t>
  </si>
  <si>
    <t>Add nominal-size mapping later.</t>
  </si>
  <si>
    <t>Planning-life assumptions</t>
  </si>
  <si>
    <t>CALIBRATION</t>
  </si>
  <si>
    <t>75 y metallic; 50–100 y others</t>
  </si>
  <si>
    <t>These are explicit screening/planning assumptions, not universal asset lives. They require local utility/manufacturer/failure-data calibration.</t>
  </si>
  <si>
    <t>Retain transparency.</t>
  </si>
  <si>
    <t>Pressure sensitivity / condition factors</t>
  </si>
  <si>
    <t>Heuristic coefficients</t>
  </si>
  <si>
    <t>Pressure sensitivity, retention factors and non-metallic ageing equations are internally consistent but are model assumptions rather than universally validated failure laws.</t>
  </si>
  <si>
    <t>Calibrate against observed field data where available.</t>
  </si>
  <si>
    <t>Structural diagnostic</t>
  </si>
  <si>
    <t>Pressure-required wall / reserve-life</t>
  </si>
  <si>
    <t>Secondary hoop-stress screening only; may exceed nominal planning life and is correctly prevented from becoming the primary remaining-life result.</t>
  </si>
  <si>
    <t>Keep diagnostic wording.</t>
  </si>
  <si>
    <t>Imperial vs US Imperial</t>
  </si>
  <si>
    <t>Current mathematical equivalence</t>
  </si>
  <si>
    <t>For all quantities used by this model—statute miles, inches and psi—the Imperial and US Imperial conversion mathematics are the same. Therefore both modes must return identical engineering results for identical numerical physical inputs.</t>
  </si>
  <si>
    <t>Future distinction should be pipe standards / nominal-size mapping only.</t>
  </si>
  <si>
    <t>Unit-switch persistence</t>
  </si>
  <si>
    <t>Saved workbook input</t>
  </si>
  <si>
    <t>The selected unit system is a stored dropdown value, not a volatile formula. It remains selected when the workbook is saved and reopened.</t>
  </si>
  <si>
    <t>No action.</t>
  </si>
  <si>
    <t>Date persistence</t>
  </si>
  <si>
    <t>Saved Survey Date</t>
  </si>
  <si>
    <t>Survey Date is a stored input. Once entered, it remains fixed when saved/reopened. TODAY() is only the fallback when Survey Date is blank.</t>
  </si>
  <si>
    <t>Representative materials</t>
  </si>
  <si>
    <t>Metallic + six non-metallic/structural routes</t>
  </si>
  <si>
    <t>Equivalent Metric, Imperial and US Imperial physical inputs were tested for Grey CI, PVC, HDPE, GRP, asbestos cement, concrete and PCCP. Remaining-life outputs matched to floating-point precision.</t>
  </si>
  <si>
    <t>Validated v16.2.</t>
  </si>
  <si>
    <t>5 mm vs exact inch equivalent</t>
  </si>
  <si>
    <t>Direct-wall converted value, condition band and remaining life matched across all unit modes.</t>
  </si>
  <si>
    <t>m/ms invariant + canonical diameter lookup</t>
  </si>
  <si>
    <t>Measured acoustic velocity remains unchanged numerically across all modes. A detailed audit found that the velocity-envelope helper had still been comparing against the raw Dashboard diameter; this caused Imperial/US velocity plausibility to fail despite correct internal diameter conversion. The helper now uses Calc Engine B5 (canonical mm), and Metric / Imperial / US velocity status, equivalent wall and life match.</t>
  </si>
  <si>
    <t>Critical unit-conversion defect found and fixed in v16.3.</t>
  </si>
  <si>
    <t>Critical defect corrected</t>
  </si>
  <si>
    <t>Velocity reference envelope</t>
  </si>
  <si>
    <t>Imperial/US physical inch diameter was converted correctly in Calc Engine, but the Velocity Reference helper was still matching raw inches against metric reference diameters. This could incorrectly show RED / not control life in Imperial/US mode.</t>
  </si>
  <si>
    <t>Reference helper K/P columns now use canonical Calc Engine B5.</t>
  </si>
  <si>
    <t>Formula error scan</t>
  </si>
  <si>
    <t>Workbook-wide Excel error values</t>
  </si>
  <si>
    <t>Formula-error controls checked: acoustic reserve cells B77/B127/B128 are explicitly gated against blank/non-numeric calibration inputs, preventing latent #VALUE! errors when no velocity evidence is available.</t>
  </si>
  <si>
    <t>Validated.</t>
  </si>
  <si>
    <t>Current release status</t>
  </si>
  <si>
    <t>PASS WITH LIMITATIONS</t>
  </si>
  <si>
    <t>Engineering planning model</t>
  </si>
  <si>
    <t>Formula-error and release-guard controls revalidated in v17.43. Dedicated Calc Engine B146:B148 guards now block invalid diameter, future installation year and missing/invalid selected-method evidence.</t>
  </si>
  <si>
    <t>Suitable for controlled planning use, not structural fitness-for-service certification.</t>
  </si>
  <si>
    <t>Internal-diameter plausibility control uses Dashboard validation plus dedicated engine-side status B146 so pasted/imported invalid values cannot silently produce an assessment.</t>
  </si>
  <si>
    <t>Validated v17.43 against 100,000 mm pasted-input scenario.</t>
  </si>
  <si>
    <t>What-if result box</t>
  </si>
  <si>
    <t>Dynamic RAG fill</t>
  </si>
  <si>
    <t>Installation-year plausibility control uses Dashboard validation plus dedicated engine-side status B147, anchored to YEAR(Survey Date). Future years are blocked and pipe age is not forced to zero.</t>
  </si>
  <si>
    <t>Validated v17.43 against 2050 vs 2026 survey-date scenario.</t>
  </si>
  <si>
    <t>Current result box</t>
  </si>
  <si>
    <t>Reviewed friend's D35/D36 wall-floor observation against current layout. In v17.19 those cells are pressure-required wall diagnostics, not estimated wall. Dashboard D37 already suppresses estimated remaining wall when no direct measurement, valid acoustic evidence or reference wall exists. Labels strengthened to prevent confusion; no engineering formula change required.</t>
  </si>
  <si>
    <t>No change required.</t>
  </si>
  <si>
    <t>Service-status boxes</t>
  </si>
  <si>
    <t>Operational status fill</t>
  </si>
  <si>
    <t>Base planning-life fallback corrected from 80 to 75 years so the formula matches the documented generic metallic baseline. Named materials continue to use their individual lookup values; this fallback is only an error/missing-match safeguard.</t>
  </si>
  <si>
    <t>Visual status aligned with engineering message.</t>
  </si>
  <si>
    <t>Unit number formats</t>
  </si>
  <si>
    <t>Metric suffix leakage</t>
  </si>
  <si>
    <t>Stray Dashboard F61 value removed. Severe burst-history retention changed from a flat 0.75 to a bounded linear graduation: 0.75 at the &gt;20 bursts/100 km/year Severe threshold, 0.70 at 40, 0.65 at 60, and 0.60 at 80 or above. Nil/Minimal/Average factors are unchanged.</t>
  </si>
  <si>
    <t>Prevents Imperial values displaying metric suffixes.</t>
  </si>
  <si>
    <t>What-if row visibility</t>
  </si>
  <si>
    <t>Row height / wrapping</t>
  </si>
  <si>
    <t>Full QA corrected route isolation: inactive direct-wall data could feed B18/B19 and Auto structural condition under Engineering Best-Practice.</t>
  </si>
  <si>
    <t>Final release standard.</t>
  </si>
  <si>
    <t>Metric / Imperial / US Imperial</t>
  </si>
  <si>
    <t>Visual + engineering equivalence</t>
  </si>
  <si>
    <t>Full QA added selected-method validity guards so missing/invalid measured evidence cannot produce a plausible fallback life.</t>
  </si>
  <si>
    <t>No formula fork introduced.</t>
  </si>
  <si>
    <t>Full visual/formula recheck</t>
  </si>
  <si>
    <t>Conditional-formatting rules rebuilt for headline, what-if and priority/action states, including NOT ASSESSED and unambiguous HIGH versus VERY HIGH.</t>
  </si>
  <si>
    <t>Suitable for controlled planning use.</t>
  </si>
  <si>
    <t>User Guide/Audit reconciled with explicit method selection and current uncertainty values.</t>
  </si>
  <si>
    <t>Planning priority vs action</t>
  </si>
  <si>
    <t>Cross-check of D38 and D39</t>
  </si>
  <si>
    <t>Protected Dashboard result-box visibility corrected. Condition Finding row 7, Asset Planning Priority row 8 and What-If row 12 are pre-sized for wrapped result text because protected Excel sheets cannot reliably AutoFit after formula recalculation. No other Dashboard row heights or column widths were reduced.</t>
  </si>
  <si>
    <t>Priority and action now agree.</t>
  </si>
  <si>
    <t>What-if service status</t>
  </si>
  <si>
    <t>Red/green rule precedence</t>
  </si>
  <si>
    <t>Conditional formatting now explicitly excludes the phrase 'NOT operationally acceptable' from the green rule, so below-service what-if cases cannot be coloured green.</t>
  </si>
  <si>
    <t>Old selector references</t>
  </si>
  <si>
    <t>User Guide references</t>
  </si>
  <si>
    <t>Two documentation references still pointed to the former Dashboard E3 selector. They now correctly point to Dashboard B2.</t>
  </si>
  <si>
    <t>No active formula issue remained.</t>
  </si>
  <si>
    <t>Final release check</t>
  </si>
  <si>
    <t>Formulas, units, colours, documentation</t>
  </si>
  <si>
    <t>The active model has been checked for formula errors, unit suffix leakage, selector dependencies, status colours and cross-output consistency. Declared limitations remain calibration assumptions and future nominal US/Imperial size mapping.</t>
  </si>
  <si>
    <t>v16.5 checked release candidate.</t>
  </si>
  <si>
    <t>Residual data validation</t>
  </si>
  <si>
    <t>A Metric / Imperial / US Imperial dropdown remained on the Location cell because E3 had previously been the unit selector before the layout was moved.</t>
  </si>
  <si>
    <t>Validation removed; E3 is plain text only.</t>
  </si>
  <si>
    <t>Unit selector integrity</t>
  </si>
  <si>
    <t>Single source of truth</t>
  </si>
  <si>
    <t>Dashboard B2 is the only unit-system selector on the Dashboard.</t>
  </si>
  <si>
    <t>Verified.</t>
  </si>
  <si>
    <t>Location propagation</t>
  </si>
  <si>
    <t>Calc Engine + Failure Curve</t>
  </si>
  <si>
    <t>Location propagates from Dashboard E3 and is independent of unit selection.</t>
  </si>
  <si>
    <t>Planning priority matrix</t>
  </si>
  <si>
    <t>Condition × consequence logic</t>
  </si>
  <si>
    <t>Consequence score 5 no longer automatically forces VERY HIGH when pipe condition is GREEN.</t>
  </si>
  <si>
    <t>GREEN + consequence 5 = HIGH; RED + consequence 4/5 = VERY HIGH.</t>
  </si>
  <si>
    <t>Prominent recommended action</t>
  </si>
  <si>
    <t>Dashboard D8:D9</t>
  </si>
  <si>
    <t>Planning priority and recommended action are displayed immediately below the main condition/life result.</t>
  </si>
  <si>
    <t>No row heights or column widths changed.</t>
  </si>
  <si>
    <t>Workbook compatibility</t>
  </si>
  <si>
    <t>Clean rebuild from user v16.6</t>
  </si>
  <si>
    <t>No merged-cell changes introduced.</t>
  </si>
  <si>
    <t>Fresh XLSX export from the user's opening v16.6 workbook.</t>
  </si>
  <si>
    <t>Detailed formula audit</t>
  </si>
  <si>
    <t>Workbook-wide active formulas</t>
  </si>
  <si>
    <t>No active Excel error values found after corrections.</t>
  </si>
  <si>
    <t>Scenario-tested across core drivers and unit modes.</t>
  </si>
  <si>
    <t>RAG documentation</t>
  </si>
  <si>
    <t>User Guide + Assumptions</t>
  </si>
  <si>
    <t>Several legacy explanations still said RED only at 0 years. Live formulas use RED &lt;=5, AMBER &gt;5–10, GREEN &gt;10.</t>
  </si>
  <si>
    <t>Documentation now matches live calculation.</t>
  </si>
  <si>
    <t>User Guide cell references</t>
  </si>
  <si>
    <t>Front-page row shifts</t>
  </si>
  <si>
    <t>Multiple explanatory references pointed to old Dashboard row numbers after layout changes.</t>
  </si>
  <si>
    <t>References corrected to current inputs/outputs.</t>
  </si>
  <si>
    <t>Reference-unavailable wall output</t>
  </si>
  <si>
    <t>Dashboard remaining-wall diagnostic</t>
  </si>
  <si>
    <t>When class/material/diameter reference was not found, the front page could display the internal 0.1 mm safety floor as if it were an estimated wall.</t>
  </si>
  <si>
    <t>Front-page wall output now blanks unless reference or direct evidence exists.</t>
  </si>
  <si>
    <t>Pressure/wall reserve without reference</t>
  </si>
  <si>
    <t>Secondary structural diagnostic</t>
  </si>
  <si>
    <t>Reserve-life diagnostic could be derived from the internal 0.1 mm floor when no reference wall existed.</t>
  </si>
  <si>
    <t>Diagnostic now suppresses itself and explains that reference/direct evidence is required.</t>
  </si>
  <si>
    <t>Pipe-age display</t>
  </si>
  <si>
    <t>Correct numeric age was displayed using a date number format on the calculation sheet.</t>
  </si>
  <si>
    <t>Number format changed to integer; formula unchanged.</t>
  </si>
  <si>
    <t>Planning-priority explanation</t>
  </si>
  <si>
    <t>Condition x consequence</t>
  </si>
  <si>
    <t>Guide now documents that consequence 5 does not automatically force VERY HIGH for a GREEN pipe.</t>
  </si>
  <si>
    <t>Priority remains separate from physical-life RAG.</t>
  </si>
  <si>
    <t>Version / governance text</t>
  </si>
  <si>
    <t>Assumptions &amp; Method</t>
  </si>
  <si>
    <t>Legacy v13.4 governance text remained in the assumptions sheet.</t>
  </si>
  <si>
    <t>Updated to v16.8.</t>
  </si>
  <si>
    <t>Pressure monotonic</t>
  </si>
  <si>
    <t>Scenario test</t>
  </si>
  <si>
    <t>[(20, 39.71926151659855), (40, 37.857770149237375), (60, 36.08351983265233), (80, 34.39242190918217)]</t>
  </si>
  <si>
    <t>Soil monotonic</t>
  </si>
  <si>
    <t>[('Low', 37.857770149237375), ('Moderate', 37.857770149237375), ('High', 33.22174858057783), ('Severe', 28.556363543926405)]</t>
  </si>
  <si>
    <t>Structural condition monotonic</t>
  </si>
  <si>
    <t>[('Good / confirmed', 37.857770149237375), ('Moderate', 35.334316758148915), ('Poor', 31.396383008253196), ('Very poor', 26.207701833551905)]</t>
  </si>
  <si>
    <t>Cycling monotonic</t>
  </si>
  <si>
    <t>[('Low', 42), ('Moderate', 42), ('High', 40.43898175032174), ('Severe', 37.857770149237375)]</t>
  </si>
  <si>
    <t>Failure history monotonic</t>
  </si>
  <si>
    <t>[('Nil', 42), ('Minimal', 41.30599734054145), ('Average', 38.86547775583968), ('Severe', 33.24102608566831)]</t>
  </si>
  <si>
    <t>Intermittent &lt;= continuous</t>
  </si>
  <si>
    <t>[('Continuous', 42), ('Intermittent', 40.05180001015908)]</t>
  </si>
  <si>
    <t>Consequence independent of life</t>
  </si>
  <si>
    <t>[(1, 42, 'LOW'), (2, 42, 'LOW'), (3, 42, 'MEDIUM'), (4, 42, 'MEDIUM'), (5, 42, 'HIGH')]</t>
  </si>
  <si>
    <t>Metric/Imperial physical equivalence</t>
  </si>
  <si>
    <t>[(100, 40, 20, 40.0316190572552, 42), (100, 40.00000000000001, 20.000000000000004, 40.0316190572552, 42)]</t>
  </si>
  <si>
    <t>Direct wall evidence hierarchy</t>
  </si>
  <si>
    <t>Direct wall scenario</t>
  </si>
  <si>
    <t>['DIRECT WALL MEASUREMENT', 'GREEN', 25.824746987052222]</t>
  </si>
  <si>
    <t>Direct wall is the controlling evidence route and returns a valid condition band / life result.</t>
  </si>
  <si>
    <t>Velocity evidence hierarchy</t>
  </si>
  <si>
    <t>Plausible Grey CI velocity</t>
  </si>
  <si>
    <t>['GREEN', 'YES', 'MEASURED VELOCITY', 8.071428571428571, 39.15699556458076]</t>
  </si>
  <si>
    <t>GREEN/plausible velocity controls equivalent wall and planning life.</t>
  </si>
  <si>
    <t>Representative non-metallic routes</t>
  </si>
  <si>
    <t>PVC, HDPE, GRP, AC, Concrete, PCCP</t>
  </si>
  <si>
    <t>[('PVC / uPVC', 36.099789917488735, 36.099789917488735, 'GREEN', True), ('HDPE / MDPE', 56.36678020881174, 56.36678020881174, 'GREEN', True), ('GRP / Fiberglass', 24.484682711906693, 24.484682711906693, 'GREEN', True), ('Asbestos cement', 17.380934197249125, 17.380934197249125, 'GREEN', True), ('Concrete', 33.987819539164036, 33.987819539164036, 'GREEN', True), ('PCCP', 30.199786548851275, 30.199786548851275, 'GREEN', True)]</t>
  </si>
  <si>
    <t>All six material routes returned nonnegative current/what-if life and valid RAG outputs.</t>
  </si>
  <si>
    <t>XLSX package integrity</t>
  </si>
  <si>
    <t>Openability package check</t>
  </si>
  <si>
    <t>Workbook exported as a valid XLSX ZIP package; no corrupt member found.</t>
  </si>
  <si>
    <t>Final file package integrity checked.</t>
  </si>
  <si>
    <t>Recommended action placement</t>
  </si>
  <si>
    <t>Dashboard headline finding</t>
  </si>
  <si>
    <t>Recommended Action now appears directly inside the Pipe Condition / Life box with the estimated remaining-life range. The lower duplicate summary has been removed; detailed planning action remains in the supporting output section.</t>
  </si>
  <si>
    <t>Life expectancy and required action are now read together.</t>
  </si>
  <si>
    <t>Headline RAG colour</t>
  </si>
  <si>
    <t>Dashboard D7</t>
  </si>
  <si>
    <t>Explicit RED / AMBER / GREEN conditional-formatting rules restored to the combined life/action box.</t>
  </si>
  <si>
    <t>The headline box colour follows pipe condition/life rather than default grey formatting.</t>
  </si>
  <si>
    <t>Engineering action wording</t>
  </si>
  <si>
    <t>STRENGTHENED</t>
  </si>
  <si>
    <t>Dashboard D7 / D40</t>
  </si>
  <si>
    <t>Broad recommendation wording replaced with explicit engineering actions for GREEN, AMBER, RED and planning-priority levels.</t>
  </si>
  <si>
    <t>Actions remain appropriate to a screening and investment-planning model; they do not claim structural fitness-for-service certification.</t>
  </si>
  <si>
    <t>Consequence-sensitive engineering action</t>
  </si>
  <si>
    <t>Headline engineering action now varies by both physical condition/life RAG and consequence score 1–5. RAG colour remains condition-only.</t>
  </si>
  <si>
    <t>Critical consequence strengthens action wording even when physical condition remains GREEN.</t>
  </si>
  <si>
    <t>Velocity influence on life</t>
  </si>
  <si>
    <t>Calc Engine B77/B78/L35-L36</t>
  </si>
  <si>
    <t>Plausible velocity now derives an equivalent wall retention even where the selected class/category has no exact reference row, using the embedded material/diameter average wall as the neutral baseline.</t>
  </si>
  <si>
    <t>Velocity changes planning life when it is within the accepted material/diameter envelope.</t>
  </si>
  <si>
    <t>Invalid velocity and RAG</t>
  </si>
  <si>
    <t>Calc Engine B98/B99</t>
  </si>
  <si>
    <t>AMBER/RED velocity status is now a measurement/identity warning only when velocity is not controlling life; it no longer forces the overall pipe condition to AMBER/RED while remaining life is still GREEN.</t>
  </si>
  <si>
    <t>Pipe-condition RAG follows valid condition/life evidence.</t>
  </si>
  <si>
    <t>Velocity wording / formula compatibility</t>
  </si>
  <si>
    <t>Calc Engine B65/B71/B99</t>
  </si>
  <si>
    <t>Removed all unsupported LONGTEXT expressions. Long action and velocity-interpretation text is stored in Calc Engine helper cells and referenced with standard Excel concatenation.</t>
  </si>
  <si>
    <t>No #NAME? from velocity advisory formulas.</t>
  </si>
  <si>
    <t>Headline life RAG fill</t>
  </si>
  <si>
    <t>Restored explicit GREEN base fill and simplified dynamic RED/AMBER/GREEN conditional formatting on the main Pipe Condition / Life box.</t>
  </si>
  <si>
    <t>Current GREEN result displays green; AMBER and RED remain dynamic.</t>
  </si>
  <si>
    <t>Velocity-life relationship</t>
  </si>
  <si>
    <t>REBUILT</t>
  </si>
  <si>
    <t>Calc Engine B76:B81, B121:B125</t>
  </si>
  <si>
    <t>Replaced class-envelope-only gating with calibrated acoustic equivalent-wall calculation for metallic pipes.</t>
  </si>
  <si>
    <t>Physically plausible low velocity now reduces wall retention and remaining life.</t>
  </si>
  <si>
    <t>Low velocity outside as-new envelope</t>
  </si>
  <si>
    <t>Calc Engine B78/B81/B99</t>
  </si>
  <si>
    <t>Below-reference velocity is no longer discarded merely for being outside the healthy/as-new envelope.</t>
  </si>
  <si>
    <t>Low velocity remains condition evidence and changes life.</t>
  </si>
  <si>
    <t>High velocity treatment</t>
  </si>
  <si>
    <t>CONTROLLED</t>
  </si>
  <si>
    <t>Calc Engine B124/L35-L36</t>
  </si>
  <si>
    <t>Velocity-derived retention is capped at 1.00.</t>
  </si>
  <si>
    <t>High velocity cannot extend life above chronological nominal remaining life.</t>
  </si>
  <si>
    <t>Metallic size coverage</t>
  </si>
  <si>
    <t>VALIDATED</t>
  </si>
  <si>
    <t>Velocity Reference / Calc Engine</t>
  </si>
  <si>
    <t>Formula-level sweep checked all 73 metallic material/diameter calibration groups in the embedded table for monotonic equivalent-wall response; representative workbook-engine tests were also run for Carbon steel, Copper, Ductile iron and Grey cast iron.</t>
  </si>
  <si>
    <t>All 73 calibration groups are monotonic: lower physically plausible velocity produces lower equivalent wall. Workbook-engine spot tests across all four referenced metallic materials confirmed lower velocity reduces remaining-life output.</t>
  </si>
  <si>
    <t>100 mm Grey cast iron velocity check</t>
  </si>
  <si>
    <t>Dashboard B11 / Calc Engine</t>
  </si>
  <si>
    <t>With the existing Standard category, 1.21 m/ms and 1.28 m/ms were tested using the same 100 mm Grey cast iron inputs.</t>
  </si>
  <si>
    <t>1.21 m/ms gives materially lower equivalent wall and remaining life than 1.28 m/ms; both values actively control the life calculation.</t>
  </si>
  <si>
    <t>Acoustic life calibration</t>
  </si>
  <si>
    <t>Calc Engine B121:B128</t>
  </si>
  <si>
    <t>Life now uses structural wall reserve to a planning-critical wall rather than simple equivalent-wall/reference-wall ratio.</t>
  </si>
  <si>
    <t>Low velocity has stronger, non-linear effect as wall reserve is consumed.</t>
  </si>
  <si>
    <t>Class-specific calibration</t>
  </si>
  <si>
    <t>Calc Engine B121:B122</t>
  </si>
  <si>
    <t>Uses exact class only when a single exact reference exists; otherwise falls back to material/diameter average.</t>
  </si>
  <si>
    <t>Avoids false precision and duplicate-class ambiguity.</t>
  </si>
  <si>
    <t>Acoustic uncertainty</t>
  </si>
  <si>
    <t>Calc Engine B112</t>
  </si>
  <si>
    <t>Velocity-controlled life uncertainty set to ±20%.</t>
  </si>
  <si>
    <t>Reflects section-average screening uncertainty and calibration limitations.</t>
  </si>
  <si>
    <t>Calc Engine B126:B128</t>
  </si>
  <si>
    <t>Critical wall is maximum of policy minimum, absolute minimum and pressure-required wall.</t>
  </si>
  <si>
    <t>Planning threshold explicitly separated from certified structural failure thickness.</t>
  </si>
  <si>
    <t>Acoustic disclaimer</t>
  </si>
  <si>
    <t>EXPANDED</t>
  </si>
  <si>
    <t>Dashboard D20 / User Guide / Assumptions</t>
  </si>
  <si>
    <t>Added limitations on section-average result, local pitting/graphitization, material variability, restraint, air and need for direct verification.</t>
  </si>
  <si>
    <t>Model does not present acoustic wall as exact UT minimum wall.</t>
  </si>
  <si>
    <t>100 mm Grey cast iron acoustic sensitivity</t>
  </si>
  <si>
    <t>FULLY VALIDATED</t>
  </si>
  <si>
    <t>Dashboard B11 / Calc Engine B121:B128</t>
  </si>
  <si>
    <t>Tested 1.28, 1.25, 1.23, 1.21, 1.19, 1.17 and 1.15 m/ms on the same 100 mm Grey cast iron inputs.</t>
  </si>
  <si>
    <t>Lower velocity progressively reduces acoustic equivalent wall, structural reserve and remaining planning life; sufficiently low velocity reaches RED.</t>
  </si>
  <si>
    <t>Supported metallic materials</t>
  </si>
  <si>
    <t>WORKBOOK ENGINE TEST</t>
  </si>
  <si>
    <t>Carbon steel / Copper / Ductile iron / Grey cast iron</t>
  </si>
  <si>
    <t>Representative diameter checks performed at 95% and 100% of embedded neutral reference velocity.</t>
  </si>
  <si>
    <t>All supported metallic material routes showed lower life at lower velocity and MEASURED VELOCITY control.</t>
  </si>
  <si>
    <t>All embedded metallic sizes</t>
  </si>
  <si>
    <t>FORMULA SWEEP</t>
  </si>
  <si>
    <t>Checked all 73 material/diameter average calibration groups using 95%, 100% and 102% of reference velocity.</t>
  </si>
  <si>
    <t>73 of 73 groups passed monotonic equivalent-wall and reserve response.</t>
  </si>
  <si>
    <t>Unsupported metallic references</t>
  </si>
  <si>
    <t>Velocity Reference / User Guide</t>
  </si>
  <si>
    <t>No acoustic life curve is invented where the workbook has no validated material/diameter calibration.</t>
  </si>
  <si>
    <t>Use direct wall/NDT or validated local calibration for unsupported metallic materials/sizes.</t>
  </si>
  <si>
    <t>Assessment method dropdown</t>
  </si>
  <si>
    <t>Dashboard B28</t>
  </si>
  <si>
    <t>Explicit choice between Engineering Best-Practice, Measured Acoustic Velocity and Direct Wall Thickness / NDT.</t>
  </si>
  <si>
    <t>Only selected route controls life.</t>
  </si>
  <si>
    <t>Direct wall life response</t>
  </si>
  <si>
    <t>Calc Engine B130 / L35:L36</t>
  </si>
  <si>
    <t>Direct wall now scales life by remaining structural wall reserve to the planning-critical wall.</t>
  </si>
  <si>
    <t>Measured wall materially changes life.</t>
  </si>
  <si>
    <t>Inactive measurement handling</t>
  </si>
  <si>
    <t>Dashboard A11:C12 / D17</t>
  </si>
  <si>
    <t>Inactive wall/velocity values are retained but labelled NOT USED and ignored by calculation.</t>
  </si>
  <si>
    <t>No ambiguity and no silent deletion of field data.</t>
  </si>
  <si>
    <t>Direct wall uncertainty</t>
  </si>
  <si>
    <t>Direct-wall/NDT life range uses ±15% planning uncertainty.</t>
  </si>
  <si>
    <t>More confidence than acoustic screening, subject to sampling representativeness.</t>
  </si>
  <si>
    <t>Direct wall sensitivity</t>
  </si>
  <si>
    <t>100 mm Grey cast iron</t>
  </si>
  <si>
    <t>Tested direct wall from 9.0 to 4.5 mm with Direct Wall Thickness / NDT selected.</t>
  </si>
  <si>
    <t>Lower measured wall monotonically reduces remaining planning life; at/below the planning-critical wall the life reserve reaches 0 years and RED.</t>
  </si>
  <si>
    <t>Velocity ignored under direct wall</t>
  </si>
  <si>
    <t>Dashboard B11/B12/B28</t>
  </si>
  <si>
    <t>Held direct wall at 6.0 mm and varied velocity from 0 to 1.35 m/ms.</t>
  </si>
  <si>
    <t>Remaining life unchanged; active evidence route remained DIRECT WALL MEASUREMENT.</t>
  </si>
  <si>
    <t>Prominent method selector</t>
  </si>
  <si>
    <t>MOVED</t>
  </si>
  <si>
    <t>Dashboard A6:C6</t>
  </si>
  <si>
    <t>Actual selectable dropdown placed immediately below Survey/Length/Location identification inputs and before technical pipe inputs.</t>
  </si>
  <si>
    <t>Yellow full-width main-input row; not placed off to the right.</t>
  </si>
  <si>
    <t>Single selector source</t>
  </si>
  <si>
    <t>Dashboard B6 / B28 / Calc Engine B129</t>
  </si>
  <si>
    <t>B6 is the only user-selectable method cell; B28 merely echoes it.</t>
  </si>
  <si>
    <t>No competing method selectors.</t>
  </si>
  <si>
    <t>v17.23 FULL QA TEST MATRIX</t>
  </si>
  <si>
    <t>STATUS</t>
  </si>
  <si>
    <t>RESULT</t>
  </si>
  <si>
    <t>SCOPE</t>
  </si>
  <si>
    <t>CHECK</t>
  </si>
  <si>
    <t>NOTES</t>
  </si>
  <si>
    <t>Default formulas</t>
  </si>
  <si>
    <t>Core status valid</t>
  </si>
  <si>
    <t>Programmatic scenario test</t>
  </si>
  <si>
    <t>Validated against live formulas</t>
  </si>
  <si>
    <t>Engineering isolation</t>
  </si>
  <si>
    <t>Inactive measurements do not change life</t>
  </si>
  <si>
    <t>Acoustic isolation/validity</t>
  </si>
  <si>
    <t>Inactive wall ignored; invalid selected velocity blocked</t>
  </si>
  <si>
    <t>Direct-wall isolation/validity</t>
  </si>
  <si>
    <t>Inactive velocity ignored; missing wall blocked</t>
  </si>
  <si>
    <t>Inactive wall remains isolated. When Direct Wall/NDT is selected, dedicated evidence status B148 requires a positive numeric wall measurement; missing evidence blocks the headline assessment.</t>
  </si>
  <si>
    <t>Validated v17.43 with blank Direct Wall/NDT input.</t>
  </si>
  <si>
    <t>All materials</t>
  </si>
  <si>
    <t>12/12 supported Engineering routes calculated</t>
  </si>
  <si>
    <t>Non-metal method guard</t>
  </si>
  <si>
    <t>Unsupported measured routes blocked</t>
  </si>
  <si>
    <t>Monotonic / worst=severe</t>
  </si>
  <si>
    <t>Structural factors</t>
  </si>
  <si>
    <t>Monotonic</t>
  </si>
  <si>
    <t>Joint factors</t>
  </si>
  <si>
    <t>Intermittent never improves life</t>
  </si>
  <si>
    <t>Severe graduation to 0.60 floor works</t>
  </si>
  <si>
    <t>Pressure direction</t>
  </si>
  <si>
    <t>Lower does not worsen / higher does not improve</t>
  </si>
  <si>
    <t>Post-nominal wall route</t>
  </si>
  <si>
    <t>Input plausibility</t>
  </si>
  <si>
    <t>Diameter/year/length/history/pressure guards</t>
  </si>
  <si>
    <t>All three methods equivalent across Metric/Imperial/US</t>
  </si>
  <si>
    <t>Guide alignment</t>
  </si>
  <si>
    <t>Legacy selector/uncertainty contradictions removed</t>
  </si>
  <si>
    <t>No live Excel error values</t>
  </si>
  <si>
    <t>Conditional-format/color logic</t>
  </si>
  <si>
    <t>GREEN/AMBER/RED, LOW/MEDIUM/HIGH/VERY HIGH and NOT ASSESSED verified from computed style.</t>
  </si>
  <si>
    <t>Legacy overlapping D8 rules removed.</t>
  </si>
  <si>
    <t>v17.25 pipe-class dropdown + direct-wall fallback</t>
  </si>
  <si>
    <t>Pipe category/class dropdown is now material-dependent; invalid cross-material classes removed. Direct Wall/NDT now uses exact reference, same-material/diameter calibration, or metallic fallback wall/diameter ratio in that order.</t>
  </si>
  <si>
    <t>Validated across ductile iron, grey cast iron, carbon steel, copper, galvanized iron and unknown metallic direct-wall scenarios; acoustic route remains reference-calibration dependent.</t>
  </si>
  <si>
    <t>Method-aware condition display</t>
  </si>
  <si>
    <t>Removed misleading N/A display from inactive diagnostic routes and added stale-class fallback.</t>
  </si>
  <si>
    <t>Direct Wall/NDT restricted to metallic materials; acoustic route restricted to embedded-reference materials.</t>
  </si>
  <si>
    <t>01-Sep-2026</t>
  </si>
  <si>
    <t>Excel reference lookup compatibility</t>
  </si>
  <si>
    <t>Replaced array-style INDEX/MATCH reference lookup formulas in B16/B17 with SUMIFS.</t>
  </si>
  <si>
    <t>Intended to prevent #N/A on material change during native Excel recalculation.</t>
  </si>
  <si>
    <t>Continuous Direct Wall/NDT life</t>
  </si>
  <si>
    <t>Removed 75-year measured-evidence cliff; direct wall now uses measured reserve to critical planning wall at all ages.</t>
  </si>
  <si>
    <t>25-year value is an engineering review horizon/cap, not an automatic post-75-year life addition.</t>
  </si>
  <si>
    <t>v17.33</t>
  </si>
  <si>
    <t>User Guide direct-wall methodology</t>
  </si>
  <si>
    <t>Main User Guide updated to match continuous Direct Wall/NDT life logic.</t>
  </si>
  <si>
    <t>Clarifies age baseline, measured-wall reserve, 25-year review horizon and local-evidence limitation.</t>
  </si>
  <si>
    <t>v17.35 method-specific diameter governance</t>
  </si>
  <si>
    <t>Direct Wall/NDT requires embedded wall reference; acoustic requires calibration; engineering route retains broad diameter list.</t>
  </si>
  <si>
    <t>Unsupported measured-route combinations removed without reducing Engineering Best-Practice scope.</t>
  </si>
  <si>
    <t>v17.36 direct measured wall without nominal reference</t>
  </si>
  <si>
    <t>Actual wall measurement remains valid evidence even when exact reference wall is unavailable.</t>
  </si>
  <si>
    <t>Life calculated from pitting-adjusted measured wall to critical wall; no fabricated original-wall percentage. Acoustic calibration restrictions retained.</t>
  </si>
  <si>
    <t>v17.37 pipe type + DI/GCI diameter control</t>
  </si>
  <si>
    <t>Dashboard pipe-type dropdown restored and method-dependent.</t>
  </si>
  <si>
    <t>DI/GCI physical lists start 75 mm; acoustic lists remain evidence-only and do not invent 75 mm calibration.</t>
  </si>
  <si>
    <t>v17.38 reference-size dropdown control</t>
  </si>
  <si>
    <t>DI/GCI menus begin at 80 mm and use embedded reference sizes only.</t>
  </si>
  <si>
    <t>Imperial / US Imperial is generated from the same metric physical size set by /25.4 conversion; no unsupported smaller DI/GCI sizes offered.</t>
  </si>
  <si>
    <t>v17.39 Galvanized iron / point-thickness fix</t>
  </si>
  <si>
    <t>Galvanized iron naming aligned throughout model and material logic.</t>
  </si>
  <si>
    <t>Direct measured wall without original reference now uses measured reserve life; blank reference-retention no longer zeroes the life calculation. User-facing diagnostics explain that reference percentages are unavailable while actual-wall life remains valid.</t>
  </si>
  <si>
    <t>v17.40 Direct Wall Excel #VALUE! guard</t>
  </si>
  <si>
    <t>Blank reference-wall cells are no longer used in numeric comparisons or arithmetic.</t>
  </si>
  <si>
    <t>Galvanized iron point-thickness route tested across all available sizes and multiple wall measurements with valid life output.</t>
  </si>
  <si>
    <t>v17.41 final metallic engineering review</t>
  </si>
  <si>
    <t>Material wall thresholds reviewed against embedded source tables plus AWWA/DIPRA, ASME, EPA/cast-iron research, Copper Development Association and BS 1387/EN 10255 evidence.</t>
  </si>
  <si>
    <t>No threshold was changed merely for consistency. Grey CI remains deliberately more conservative at 3 mm; Galvanized iron 3 mm may remain serviceable where pressure, reference-wall retention and measured reserve support it.</t>
  </si>
  <si>
    <t>v17.42 release-controls and research traceability</t>
  </si>
  <si>
    <t>Dashboard class/category and cycling-severity validations checked/restored.</t>
  </si>
  <si>
    <t>User Guide now contains a dedicated engineering-basis/reference section and explicitly distinguishes external published evidence from internal planning-policy assumptions.</t>
  </si>
  <si>
    <t>LIVE RELEASE-GUARD SELF-TESTS</t>
  </si>
  <si>
    <t>100,000 mm diameter must be rejected</t>
  </si>
  <si>
    <t>Synthetic bad input</t>
  </si>
  <si>
    <t>Expected INVALID</t>
  </si>
  <si>
    <t>Live formula</t>
  </si>
  <si>
    <t>2050 installation year vs survey date must be rejected</t>
  </si>
  <si>
    <t>Blank Direct Wall/NDT evidence must be rejected</t>
  </si>
  <si>
    <t>0.2 m/ms acoustic input vs 1.20 m/ms calibration must be rejected</t>
  </si>
  <si>
    <t>Core guard wiring — current workbook state</t>
  </si>
  <si>
    <t>Live status cells</t>
  </si>
  <si>
    <t>B143 must equal the aggregate of B163/B159/B146/B147/B148/B142 plus numeric length/pressure/service guards.</t>
  </si>
  <si>
    <t>These tests are formulas, not point-in-time text assertions.</t>
  </si>
  <si>
    <t>They recalculate with the workbook and are intended to expose future guard regression.</t>
  </si>
  <si>
    <t>Do not overwrite with static PASS values.</t>
  </si>
  <si>
    <t>v17.44 FULL QA REGRESSION</t>
  </si>
  <si>
    <t>Detail</t>
  </si>
  <si>
    <t>Guard Diameter 100000</t>
  </si>
  <si>
    <t>INVALID | INPUT CHECK REQUIRED — Internal diameter is outside the model screening range. Enter 25–5,000 mm for Metric or</t>
  </si>
  <si>
    <t>Guard Future year</t>
  </si>
  <si>
    <t>INVALID | INPUT CHECK REQUIRED — Installation year is invalid or later than the survey date. Enter a whole year from 180</t>
  </si>
  <si>
    <t>Guard Non-whole year</t>
  </si>
  <si>
    <t>Guard Blank Direct Wall</t>
  </si>
  <si>
    <t>INVALID | INPUT CHECK REQUIRED — Direct Wall Thickness / NDT is selected but no usable positive wall measurement is ente</t>
  </si>
  <si>
    <t>Guard Zero Direct Wall</t>
  </si>
  <si>
    <t>Guard Blank acoustic</t>
  </si>
  <si>
    <t>INVALID | INPUT CHECK REQUIRED — Measured Acoustic Velocity is selected but no usable positive velocity has been entered</t>
  </si>
  <si>
    <t>Guard 0.2 acoustic</t>
  </si>
  <si>
    <t>INVALID | INPUT CHECK REQUIRED — Measured acoustic velocity is outside the model plausibility envelope. Check units, dec</t>
  </si>
  <si>
    <t>Guard Negative pressure</t>
  </si>
  <si>
    <t>INVALID | INPUT CHECK REQUIRED — Pressure, surge and minimum-service-pressure inputs must be numeric and cannot be negat</t>
  </si>
  <si>
    <t>Guard Negative surge</t>
  </si>
  <si>
    <t>Guard Zero length</t>
  </si>
  <si>
    <t>INVALID | INPUT CHECK REQUIRED — Surveyed pipe length must be greater than zero before the condition/life and failure-ra</t>
  </si>
  <si>
    <t>Guard Negative failures</t>
  </si>
  <si>
    <t>INVALID | INPUT CHECK REQUIRED — Burst/failure count must be a non-negative whole number and, where one or more failures</t>
  </si>
  <si>
    <t>Guard Fractional failures</t>
  </si>
  <si>
    <t>Guard Failures zero history</t>
  </si>
  <si>
    <t>Engineering Ductile iron</t>
  </si>
  <si>
    <t>life=9.887-18.362</t>
  </si>
  <si>
    <t>Engineering Grey cast iron</t>
  </si>
  <si>
    <t>life=9.692-18.000</t>
  </si>
  <si>
    <t>Engineering Carbon steel</t>
  </si>
  <si>
    <t>life=7.822-14.527</t>
  </si>
  <si>
    <t>Engineering Copper</t>
  </si>
  <si>
    <t>life=7.208-13.386</t>
  </si>
  <si>
    <t>Engineering Galvanized iron</t>
  </si>
  <si>
    <t>life=1.079-2.004</t>
  </si>
  <si>
    <t>Engineering Unknown metallic</t>
  </si>
  <si>
    <t>life=12.572-23.349</t>
  </si>
  <si>
    <t>Engineering PVC / uPVC</t>
  </si>
  <si>
    <t>Engineering HDPE / MDPE</t>
  </si>
  <si>
    <t>Engineering GRP / Fiberglass</t>
  </si>
  <si>
    <t>Engineering Asbestos cement</t>
  </si>
  <si>
    <t>Engineering PCCP</t>
  </si>
  <si>
    <t>Engineering Concrete</t>
  </si>
  <si>
    <t>Direct Wall Ductile iron</t>
  </si>
  <si>
    <t>wall=7; life=15.151-20.498; band=GREEN</t>
  </si>
  <si>
    <t>Direct Wall Grey cast iron</t>
  </si>
  <si>
    <t>wall=8; life=13.098-17.721; band=GREEN</t>
  </si>
  <si>
    <t>Direct Wall Carbon steel</t>
  </si>
  <si>
    <t>wall=3; life=0.405-0.548; band=AMBER</t>
  </si>
  <si>
    <t>Direct Wall Copper</t>
  </si>
  <si>
    <t>wall=2; life=8.328-11.268; band=GREEN</t>
  </si>
  <si>
    <t>Direct Wall Galvanized iron</t>
  </si>
  <si>
    <t>wall=3; life=5.950-8.050; band=AMBER</t>
  </si>
  <si>
    <t>Direct Wall Unknown metallic</t>
  </si>
  <si>
    <t>wall=5; life=12.922-17.482; band=GREEN</t>
  </si>
  <si>
    <t>Acoustic Ductile iron</t>
  </si>
  <si>
    <t>v=1.1; life=0.000-0.000; plaus=VALID</t>
  </si>
  <si>
    <t>Acoustic Grey cast iron</t>
  </si>
  <si>
    <t>Acoustic Carbon steel</t>
  </si>
  <si>
    <t>v=1.05; life=0.000-0.000; plaus=VALID</t>
  </si>
  <si>
    <t>Acoustic Copper</t>
  </si>
  <si>
    <t>v=1.0; life=12.405-18.607; plaus=VALID</t>
  </si>
  <si>
    <t>Unsupported acoustic blocked Galvanized iron</t>
  </si>
  <si>
    <t>INPUT CHECK REQUIRED — No embedded acoustic calibration exists for the selected material/diameter/class. Select a suppor</t>
  </si>
  <si>
    <t>Unsupported acoustic blocked Unknown metallic</t>
  </si>
  <si>
    <t>Higher pressure does not improve life</t>
  </si>
  <si>
    <t>30m=(9.6922936067807, 17.99997384116416);80m=(5.111449640111929, 9.492692188779298)</t>
  </si>
  <si>
    <t>Severe soil does not improve life</t>
  </si>
  <si>
    <t>Low=(9.6922936067807, 17.99997384116416);Severe=(5.900291858460895, 10.957684879998807)</t>
  </si>
  <si>
    <t>Severe cycling does not improve life</t>
  </si>
  <si>
    <t>Low=(9.6922936067807, 17.99997384116416);Severe=(8.529218373967016, 15.83997698022446)</t>
  </si>
  <si>
    <t>Intermittent supply does not improve life</t>
  </si>
  <si>
    <t>Continuous=(9.6922936067807, 17.99997384116416);Intermittent=(9.02352534791283, 16.75797564612383)</t>
  </si>
  <si>
    <t>More failures do not improve life</t>
  </si>
  <si>
    <t>0=(15.365991449449922, 28.536841263264144);2=(9.6922936067807, 17.99997384116416)</t>
  </si>
  <si>
    <t>Thicker measured wall does not reduce life</t>
  </si>
  <si>
    <t>5mm=(0, 0);10mm=(15.925972653289092, 21.546904177979357)</t>
  </si>
  <si>
    <t>Healthier acoustic velocity does not reduce life</t>
  </si>
  <si>
    <t>0.8=(0, 0);1.15=(0, 0)</t>
  </si>
  <si>
    <t>Consequence changes priority not life</t>
  </si>
  <si>
    <t>(9.6922936067807, 17.99997384116416)/MEDIUM vs (9.6922936067807, 17.99997384116416)/HIGH</t>
  </si>
  <si>
    <t>Unit equivalence Imperial Grey cast iron</t>
  </si>
  <si>
    <t>M=((13.09820771625421, 17.721104557285106), 4.85375, 'VALID', 83.33333333333334); I=((13.098207716254208, 17.721104557285106), 4.85375, 'VALID', 83.33333333333334)</t>
  </si>
  <si>
    <t>Unit equivalence US Imperial Grey cast iron</t>
  </si>
  <si>
    <t>Unit equivalence Imperial Galvanized iron</t>
  </si>
  <si>
    <t>M=((5.950277829101811, 8.050375886431862), 1.8, 'VALID', 83.33333333333334); I=((5.950277829101811, 8.050375886431862), 1.8, 'VALID', 83.33333333333334)</t>
  </si>
  <si>
    <t>Unit equivalence US Imperial Galvanized iron</t>
  </si>
  <si>
    <t>Unit equivalence Imperial Carbon steel</t>
  </si>
  <si>
    <t>M=((0.2633129158113474, 0.35624688609770533), 2.5, 'VALID', 83.33333333333334); I=((0.2633129158113474, 0.35624688609770533), 2.5, 'VALID', 83.33333333333334)</t>
  </si>
  <si>
    <t>Unit equivalence US Imperial Carbon steel</t>
  </si>
  <si>
    <t>Dropdown B2</t>
  </si>
  <si>
    <t>{'type': 'list', 'formula1': '"Metric,Imperial,US Imperial"', 'values': ['Metric', 'Imperial', 'US Imperial']}</t>
  </si>
  <si>
    <t>Dropdown B6</t>
  </si>
  <si>
    <t>{'type': 'list', 'formula1': '"Engineering Best-Practice Assessment,Measured Acoustic Velocity,Direct Wall Thickness / NDT"', 'values': ['Engineering Best-Practice Assessment', 'Measured Acoustic Velocity', 'Direct Wall Thickness / NDT']}</t>
  </si>
  <si>
    <t>Dropdown B8</t>
  </si>
  <si>
    <t>{'type': 'list', 'formula1': 'INDIRECT(IF($B$6="Measured Acoustic Velocity","\'Calc Engine\'!$AE$2:$AE$5",IF($B$6="Direct Wall Thickness / NDT","\'Calc Engine\'!$AD$2:$AD$7","\'Calc Engine\'!$AC$2:$AC$13")))'}</t>
  </si>
  <si>
    <t>Dropdown B9</t>
  </si>
  <si>
    <t>{'type': 'list', 'formula1': "OFFSET('Calc Engine'!$Q$2,0,MATCH($B$8,'Calc Engine'!$Q$1:$AB$1,0)-1,COUNTA(OFFSET('Calc Engine'!$Q$2,0,MATCH($B$8,'Calc Engine'!$Q$1:$AB$1,0)-1,6,1)),1)"}</t>
  </si>
  <si>
    <t>Dropdown B10</t>
  </si>
  <si>
    <t>{'type': 'list', 'formula1': 'INDIRECT("\'Calc Engine\'!$AF$2:$AF$40")'}</t>
  </si>
  <si>
    <t>Dropdown B15</t>
  </si>
  <si>
    <t>{'type': 'list', 'formula1': '"Low,Moderate,High,Severe,Unknown - Average,Unknown - Worst Case"', 'values': ['Low', 'Moderate', 'High', 'Severe', 'Unknown - Average', 'Unknown - Worst Case']}</t>
  </si>
  <si>
    <t>Dropdown B16</t>
  </si>
  <si>
    <t>{'type': 'list', 'formula1': '"1,2,3,4,5"', 'values': ['1', '2', '3', '4', '5']}</t>
  </si>
  <si>
    <t>Dropdown B18</t>
  </si>
  <si>
    <t>{'type': 'list', 'formula1': '"Auto,Good / confirmed,Moderate,Poor,Very poor"', 'values': ['Auto', 'Good / confirmed', 'Moderate', 'Poor', 'Very poor']}</t>
  </si>
  <si>
    <t>Dropdown B20</t>
  </si>
  <si>
    <t>Dropdown B21</t>
  </si>
  <si>
    <t>{'type': 'list', 'formula1': '"Good,Average,Poor,Unknown - Average,Unknown - Worst Case"', 'values': ['Good', 'Average', 'Poor', 'Unknown - Average', 'Unknown - Worst Case']}</t>
  </si>
  <si>
    <t>Dropdown B22</t>
  </si>
  <si>
    <t>{'type': 'list', 'formula1': '"Auto from failure rate,Nil,Minimal,Average,Severe"', 'values': ['Auto from failure rate', 'Nil', 'Minimal', 'Average', 'Severe']}</t>
  </si>
  <si>
    <t>Dropdown B27</t>
  </si>
  <si>
    <t>{'type': 'list', 'formula1': '"Continuous supply,Intermittent supply"', 'values': ['Continuous supply', 'Intermittent supply']}</t>
  </si>
  <si>
    <t>Diameter floor DI physical</t>
  </si>
  <si>
    <t>min=80; first=[80, 100, 150, 200, 250]</t>
  </si>
  <si>
    <t>Diameter floor GCI physical</t>
  </si>
  <si>
    <t>Diameter floor DI acoustic</t>
  </si>
  <si>
    <t>Diameter floor GCI acoustic</t>
  </si>
  <si>
    <t>Galvanized iron references embedded</t>
  </si>
  <si>
    <t>walls=[3.2, 3.2, 3.2, 3.6, 3.6, 4, 4.5, 5, 5]</t>
  </si>
  <si>
    <t>Live guard self-tests</t>
  </si>
  <si>
    <t>['PASS', 'PASS', 'PASS', 'PASS', 'PASS']</t>
  </si>
  <si>
    <t>Dedicated guards baseline</t>
  </si>
  <si>
    <t>[('B143', 'VALID'), ('B146', 'VALID'), ('B147', 'VALID'), ('B148', 'VALID')]</t>
  </si>
  <si>
    <t>No live workbook formula errors</t>
  </si>
  <si>
    <t>live matches=0</t>
  </si>
  <si>
    <t>Baseline user-facing outputs error-free</t>
  </si>
  <si>
    <t>[]</t>
  </si>
  <si>
    <t>RAG style responds D7</t>
  </si>
  <si>
    <t>GREEN vs RED computed style differs</t>
  </si>
  <si>
    <t>RAG style responds D8</t>
  </si>
  <si>
    <t>RAG style responds D12</t>
  </si>
  <si>
    <t>RAG style responds D39</t>
  </si>
  <si>
    <t>v17.45 IMPERIAL DISPLAY / UNIT-SYSTEM REVIEW</t>
  </si>
  <si>
    <t>US Imperial distinction</t>
  </si>
  <si>
    <t>No current mathematical distinction</t>
  </si>
  <si>
    <t>The model uses statute miles, inches and psi only; the former Imperial and US Imperial modes were identical. US Imperial selector removed to avoid implying a difference that does not exist.</t>
  </si>
  <si>
    <t>If UK/US gallons or another genuinely different customary unit is added later, restore an explicit distinction.</t>
  </si>
  <si>
    <t>Imperial diameter labels</t>
  </si>
  <si>
    <t>Rounded display; exact geometry retained</t>
  </si>
  <si>
    <t>Imperial dropdown shows readable labels such as ~4 in (100 mm). Calc Engine extracts 100 mm from the label and uses that exact value for reference lookup and structural calculations.</t>
  </si>
  <si>
    <t>No rounding enters the calculation engine.</t>
  </si>
  <si>
    <t>Wall/pressure precision</t>
  </si>
  <si>
    <t>Measured values retain decimal input</t>
  </si>
  <si>
    <t>Direct-wall thickness remains a measured inch input and pressure remains psi; neither is rounded to whole units.</t>
  </si>
  <si>
    <t>Only the diameter dropdown presentation is simplified.</t>
  </si>
  <si>
    <t>Release implication</t>
  </si>
  <si>
    <t>Presentation change only</t>
  </si>
  <si>
    <t>Engineering methodology, material assumptions, thresholds and calculation physics are unchanged.</t>
  </si>
  <si>
    <t>Paper requires only a short unit-interface wording update before publication.</t>
  </si>
  <si>
    <t>v17.45 UNIT/DISPLAY QA</t>
  </si>
  <si>
    <t>16/16 checks passed</t>
  </si>
  <si>
    <t>Metric/Imperial selector, Imperial diameter labels, exact metric mapping, unit-switch reselection guard, representative physical equivalence and formula-error scan.</t>
  </si>
  <si>
    <t>No engineering calculation or material-threshold change.</t>
  </si>
  <si>
    <t>v17.46 RELEASE DOCUMENTATION ALIGNMENT</t>
  </si>
  <si>
    <t>Imperial diameter accuracy</t>
  </si>
  <si>
    <t>Rounded display only</t>
  </si>
  <si>
    <t>Imperial diameter label remains user-friendly while Calc Engine B5 parses the exact metric reference in brackets.</t>
  </si>
  <si>
    <t>No diameter rounding enters structural/reference calculations.</t>
  </si>
  <si>
    <t>Measured inches converted exactly to mm</t>
  </si>
  <si>
    <t>Calc Engine B7 converts Dashboard Direct Wall/NDT inches by the model 25.4 mm/in constant before wall-retention and life calculations.</t>
  </si>
  <si>
    <t>Measured wall precision retained.</t>
  </si>
  <si>
    <t>Engineering change</t>
  </si>
  <si>
    <t>None</t>
  </si>
  <si>
    <t>v17.46 changes documentation/version alignment only. Engineering formulas, material assumptions, thresholds and evidence hierarchy are unchanged.</t>
  </si>
  <si>
    <t>Companion technical paper updated to the same unit-interface description.</t>
  </si>
  <si>
    <t>v17.47 DIRECT WALL DOUBLE-COUNT REVIEW</t>
  </si>
  <si>
    <t>Direct Wall measured wall was used twice</t>
  </si>
  <si>
    <t>Measured wall set the reserve-life numerator and observed deterioration rate, then the same wall evidence also reduced life via the Direct Wall structural-retention multiplier.</t>
  </si>
  <si>
    <t>Duplicate wall-derived multiplier removed from Direct Wall route only.</t>
  </si>
  <si>
    <t>Direct Wall life architecture</t>
  </si>
  <si>
    <t>Single use of wall evidence in life</t>
  </si>
  <si>
    <t>Life = measured pitting-adjusted reserve to critical wall / governing deterioration rate, then independent engineering modifiers.</t>
  </si>
  <si>
    <t>B130 reserve ratio remains diagnostic/RAG evidence.</t>
  </si>
  <si>
    <t>Unchanged</t>
  </si>
  <si>
    <t>Acoustic equivalent wall continues to use calibrated structural-reserve retention because that route does not calculate life from a direct point-thickness reserve in the same way.</t>
  </si>
  <si>
    <t>No acoustic formula change.</t>
  </si>
  <si>
    <t>Manual/Auto structural-grade retention remains in the Engineering route.</t>
  </si>
  <si>
    <t>No Engineering Best-Practice formula change.</t>
  </si>
  <si>
    <t>Metric/Imperial conversion remains exact. Imperial point thickness is decimal inches converted at 25.4 mm/in.</t>
  </si>
  <si>
    <t>No unit formula change.</t>
  </si>
  <si>
    <t>v17.47 DIRECT WALL REGRESSION</t>
  </si>
  <si>
    <t>8 in Grey Cast Iron sensitivity</t>
  </si>
  <si>
    <t>0.400 to 0.275 in point-thickness sweep</t>
  </si>
  <si>
    <t>Remaining life decreased monotonically as wall reduced; near-critical wall still produces strong deterioration in life/RAG, but the duplicate structural-retention multiplication is gone.</t>
  </si>
  <si>
    <t>Exact Imperial point-thickness values converted to mm.</t>
  </si>
  <si>
    <t>All metallic Direct Wall routes</t>
  </si>
  <si>
    <t>Thin vs thicker measurement test</t>
  </si>
  <si>
    <t>Ductile Iron, Grey Cast Iron, Carbon Steel, Copper, Galvanized Iron and Unknown Metallic all retained monotonic response.</t>
  </si>
  <si>
    <t>Thicker measured wall never reduced life.</t>
  </si>
  <si>
    <t>Independent factors</t>
  </si>
  <si>
    <t>Pressure, soil and failure-history checks</t>
  </si>
  <si>
    <t>Higher pressure, more aggressive soil and greater failure evidence did not improve Direct Wall life.</t>
  </si>
  <si>
    <t>Independent risk factors remain active.</t>
  </si>
  <si>
    <t>Route isolation</t>
  </si>
  <si>
    <t>Engineering + Acoustic representative cases</t>
  </si>
  <si>
    <t>Both routes remained valid; only Direct Wall effective structural-retention use was changed.</t>
  </si>
  <si>
    <t>No cross-route regression observed.</t>
  </si>
  <si>
    <t>Formula/unit QA</t>
  </si>
  <si>
    <t>Metric/Imperial equivalence + workbook error scan</t>
  </si>
  <si>
    <t>Equivalent 200 mm / 0.300 in GCI case matched; no live Excel formula errors found.</t>
  </si>
  <si>
    <t>Release QA passed.</t>
  </si>
  <si>
    <t>v17.48 ALL-DIAMETER DIRECT WALL REVIEW</t>
  </si>
  <si>
    <t>Direct Wall RAG consistency</t>
  </si>
  <si>
    <t>Measured reserve AMBER/RED vs life band</t>
  </si>
  <si>
    <t>Headline now takes the more severe of B93 measured-reserve band and the life-based thresholds.</t>
  </si>
  <si>
    <t>Example: ~8 in / 200 mm Grey Cast Iron at 0.325 in now publishes AMBER rather than GREEN.</t>
  </si>
  <si>
    <t>Minimum diameter governance</t>
  </si>
  <si>
    <t>25 mm engine floor vs helper lists</t>
  </si>
  <si>
    <t>Carbon steel 13 mm and Copper 4–20 mm source rows remain in source tables but are no longer selectable.</t>
  </si>
  <si>
    <t>Dropdown and engine guard now agree.</t>
  </si>
  <si>
    <t>All selectable diameters</t>
  </si>
  <si>
    <t>305 material/class/diameter combinations</t>
  </si>
  <si>
    <t>Three threshold-oriented wall points per combination = 915 Direct Wall scenarios.</t>
  </si>
  <si>
    <t>Ductile 95; Grey CI 66; Carbon steel 90; Copper 18; Galvanized 9; Unknown metallic 27 combinations.</t>
  </si>
  <si>
    <t>Direct Wall monotonicity</t>
  </si>
  <si>
    <t>All selectable combinations</t>
  </si>
  <si>
    <t>Reducing wall never improved remaining life; thicker wall never worsened it.</t>
  </si>
  <si>
    <t>Material-specific steepness is retained where critical reserve is genuinely small.</t>
  </si>
  <si>
    <t>No duplicate wall penalty</t>
  </si>
  <si>
    <t>Effective Direct Wall structural retention used in life remains 1; wall-derived reserve is diagnostic/RAG evidence only.</t>
  </si>
  <si>
    <t>v17.47 architecture retained across every diameter.</t>
  </si>
  <si>
    <t>Engineering-led change control</t>
  </si>
  <si>
    <t>No threshold or diameter was changed merely because a smoother result was requested.</t>
  </si>
  <si>
    <t>Only demonstrated logic/scope inconsistencies were corrected.</t>
  </si>
  <si>
    <t>v17.49 DIRECT WALL PITTING TREATMENT REVIEW</t>
  </si>
  <si>
    <t>Direct Wall measured wall</t>
  </si>
  <si>
    <t>CHANGED</t>
  </si>
  <si>
    <t>Use actual governing measurement</t>
  </si>
  <si>
    <t>No generic pitting deduction after the engineer has measured/accounted for the lowest relevant pitting location.</t>
  </si>
  <si>
    <t>Avoids a second generic penalty on direct physical evidence.</t>
  </si>
  <si>
    <t>Pitting allowance retained</t>
  </si>
  <si>
    <t>Estimated condition still requires material-specific conservative pitting allowance.</t>
  </si>
  <si>
    <t>No formula change to Engineering route.</t>
  </si>
  <si>
    <t>Indirect/section-average acoustic estimate may not capture minimum local wall.</t>
  </si>
  <si>
    <t>No acoustic pitting-treatment change.</t>
  </si>
  <si>
    <t>Grey Cast Iron governance</t>
  </si>
  <si>
    <t>Graphitization/local loss warning</t>
  </si>
  <si>
    <t>Thickness measurement is not treated as proof that unmeasured areas or graphitized material are sound.</t>
  </si>
  <si>
    <t>Representative NDT/engineering review required for material decisions.</t>
  </si>
  <si>
    <t>Regression status</t>
  </si>
  <si>
    <t>305 selectable Direct Wall combinations / 915 scenario points</t>
  </si>
  <si>
    <t>All selectable metallic material/class/diameter combinations passed threshold-oriented wall testing. Direct Wall B19 equalled the entered measured wall in every tested case; reducing wall never improved life; RAG remained consistent with measured reserve/life; no live formula errors were found.</t>
  </si>
  <si>
    <t>Ductile 95; Grey CI 66; Carbon steel 90; Copper 18; Galvanized iron 9; Unknown metallic 27 combinations.</t>
  </si>
  <si>
    <t>Route isolation / units</t>
  </si>
  <si>
    <t>Engineering Best-Practice pitting</t>
  </si>
  <si>
    <t>Retained</t>
  </si>
  <si>
    <t>Representative Grey Cast Iron test confirmed estimated wall continues to receive the 15% material pitting allowance.</t>
  </si>
  <si>
    <t>Direct Wall change does not affect Engineering Best-Practice.</t>
  </si>
  <si>
    <t>Measured Acoustic pitting</t>
  </si>
  <si>
    <t>Representative calibrated Grey Cast Iron acoustic test confirmed equivalent wall continues to receive the 15% material pitting allowance.</t>
  </si>
  <si>
    <t>Direct Wall change does not affect Acoustic.</t>
  </si>
  <si>
    <t>Metric / Imperial Direct Wall</t>
  </si>
  <si>
    <t>Exact equivalence</t>
  </si>
  <si>
    <t>Equivalent 200 mm Grey Cast Iron with 7.0 mm actual wall produced identical internal wall, critical wall, life range and RAG in Metric and Imperial.</t>
  </si>
  <si>
    <t>Imperial point thickness remains decimal inches converted exactly at 25.4 mm/in.</t>
  </si>
  <si>
    <t>Specific 200 mm Grey CI check</t>
  </si>
  <si>
    <t>7 mm and 6 mm actual wall</t>
  </si>
  <si>
    <t>7 mm -&gt; 7.0 mm used; 6 mm -&gt; 6.0 mm used. No 15% reduction applied. Life still falls sharply close to the 5.926 mm planning-critical wall because physical reserve becomes very small.</t>
  </si>
  <si>
    <t>Both results remain subject to measured-reserve RAG and Grey Cast Iron graphitization/local-loss caution.</t>
  </si>
  <si>
    <t>v17.50 WHAT-IF RAG CONSISTENCY</t>
  </si>
  <si>
    <t>Same current / what-if pressure</t>
  </si>
  <si>
    <t>Required equality</t>
  </si>
  <si>
    <t>When pressures match, Current Condition and What-if Pressure must have identical life ranges and RAG colours.</t>
  </si>
  <si>
    <t>Same RAG now also means the same fill/font colour palette in both Dashboard boxes.</t>
  </si>
  <si>
    <t>Direct Wall what-if reserve</t>
  </si>
  <si>
    <t>Pressure-specific</t>
  </si>
  <si>
    <t>What-if critical wall and reserve band are recalculated using what-if pressure-required wall.</t>
  </si>
  <si>
    <t>No reuse of current Direct Wall reserve band when pressure changes.</t>
  </si>
  <si>
    <t>B111</t>
  </si>
  <si>
    <t>What-if box now uses the what-if pressure requirement status rather than current-pressure B110.</t>
  </si>
  <si>
    <t>Correct pressure context used.</t>
  </si>
  <si>
    <t>Changed-pressure directionality</t>
  </si>
  <si>
    <t>Lower/higher pressure scenarios</t>
  </si>
  <si>
    <t>What-if result changes only where the underlying life/critical-wall/reserve changes.</t>
  </si>
  <si>
    <t>No cosmetic colour divergence.</t>
  </si>
  <si>
    <t>Workbook scan</t>
  </si>
  <si>
    <t>No live formula errors after the what-if alignment.</t>
  </si>
  <si>
    <t>Release QA completed.</t>
  </si>
  <si>
    <t>v17.51 WHAT-IF OPERATIONAL / STRUCTURAL SEPARATION</t>
  </si>
  <si>
    <t>Below minimum service pressure</t>
  </si>
  <si>
    <t>Operational RED override</t>
  </si>
  <si>
    <t>What-if box explicitly states RED is due to service-pressure non-compliance.</t>
  </si>
  <si>
    <t>Structural condition is displayed separately.</t>
  </si>
  <si>
    <t>Structural result retained</t>
  </si>
  <si>
    <t>Independent of operational wording</t>
  </si>
  <si>
    <t>Underlying B153 structural RAG and B115:B116 life range remain visible and unchanged.</t>
  </si>
  <si>
    <t>No structural formula change.</t>
  </si>
  <si>
    <t>Normal pressure case</t>
  </si>
  <si>
    <t>No operational override</t>
  </si>
  <si>
    <t>What-if box reports the structural RAG normally when the service-pressure requirement is satisfied.</t>
  </si>
  <si>
    <t>Same-pressure RAG alignment from v17.50 retained.</t>
  </si>
  <si>
    <t>No live formula errors after the display clarification.</t>
  </si>
  <si>
    <t>Release QA complete.</t>
  </si>
  <si>
    <t>v17.52 AUTO / MANUAL SEVERE REGRESSION</t>
  </si>
  <si>
    <t>Centralized Severe factor</t>
  </si>
  <si>
    <t>Calc Engine B154</t>
  </si>
  <si>
    <t>One formula governs Severe retention for Auto-derived and manual Severe.</t>
  </si>
  <si>
    <t>Prevents selection-mode drift.</t>
  </si>
  <si>
    <t>Auto -&gt; Severe equality</t>
  </si>
  <si>
    <t>Same pipe / same failure rate</t>
  </si>
  <si>
    <t>Auto-derived Severe and manual Severe return identical retention and life outputs.</t>
  </si>
  <si>
    <t>Checked at multiple Severe rates.</t>
  </si>
  <si>
    <t>Direct Wall route</t>
  </si>
  <si>
    <t>Representative cases</t>
  </si>
  <si>
    <t>Auto-Severe vs manual Severe equality confirmed.</t>
  </si>
  <si>
    <t>Engineering / Acoustic routes</t>
  </si>
  <si>
    <t>No live formula errors after alignment.</t>
  </si>
  <si>
    <t>v17.53 STRUCTURAL AUTO FLOOR REGRESSION</t>
  </si>
  <si>
    <t>Auto structural floor</t>
  </si>
  <si>
    <t>Reference = Very poor factor</t>
  </si>
  <si>
    <t>Auto B136 cannot fall below Assumptions &amp; Method F24.</t>
  </si>
  <si>
    <t>No hidden condition harsher than the worst selectable manual category.</t>
  </si>
  <si>
    <t>Auto vs Very poor</t>
  </si>
  <si>
    <t>Worst-case Engineering Best-Practice scenarios</t>
  </si>
  <si>
    <t>Where raw Auto evidence would fall below 0.65, Auto and manual Very poor produce the same structural retention and same remaining life.</t>
  </si>
  <si>
    <t>Intermediate Auto values remain continuous above the floor.</t>
  </si>
  <si>
    <t>Good / Moderate / Poor / Very poor</t>
  </si>
  <si>
    <t>Manual factors unchanged</t>
  </si>
  <si>
    <t>1.00 / 0.92 / 0.80 / 0.65 retained.</t>
  </si>
  <si>
    <t>Direct Wall / Acoustic isolation</t>
  </si>
  <si>
    <t>Direct Wall ignores structural-condition factor; Acoustic continues to use measured evidence route as designed.</t>
  </si>
  <si>
    <t>No measured-route life logic changed.</t>
  </si>
  <si>
    <t>Burst-history v17.52</t>
  </si>
  <si>
    <t>Auto-Severe vs manual Severe</t>
  </si>
  <si>
    <t>Centralized Severe failure-history factor retained and equality check remains live.</t>
  </si>
  <si>
    <t>No regression.</t>
  </si>
  <si>
    <t>No live formula errors after structural Auto correction.</t>
  </si>
  <si>
    <t>v17.54 MATERIAL / CLASS / DIAMETER RESELECTION REGRESSION</t>
  </si>
  <si>
    <t>Stale diameter after material change</t>
  </si>
  <si>
    <t>Grey CI 100 mm -&gt; Copper with 100 mm retained</t>
  </si>
  <si>
    <t>Current diameter becomes INVALID; assessment blocked; C10 requests reselection.</t>
  </si>
  <si>
    <t>No believable life published from unsupported new-material diameter.</t>
  </si>
  <si>
    <t>Valid overlapping diameter</t>
  </si>
  <si>
    <t>Grey CI 100 mm -&gt; Ductile iron with 100 mm retained</t>
  </si>
  <si>
    <t>Diameter remains VALID because 100 mm is supported by both materials.</t>
  </si>
  <si>
    <t>No unnecessary forced reselection.</t>
  </si>
  <si>
    <t>Stale class after material change</t>
  </si>
  <si>
    <t>Grey CI Class 4 -&gt; Carbon steel with Class 4 retained</t>
  </si>
  <si>
    <t>Class becomes INVALID; assessment blocked; C9 requests reselection.</t>
  </si>
  <si>
    <t>Invalid class is not normalised to Unknown.</t>
  </si>
  <si>
    <t>Class + diameter stale</t>
  </si>
  <si>
    <t>Grey CI Class 4 / 100 mm -&gt; Copper</t>
  </si>
  <si>
    <t>Combined warning requests both class and diameter reselection.</t>
  </si>
  <si>
    <t>Imperial stale diameter</t>
  </si>
  <si>
    <t>Exact metric diameter parsed from retained Imperial label</t>
  </si>
  <si>
    <t>Validation compares the canonical metric diameter against the current material list.</t>
  </si>
  <si>
    <t>Display rounding cannot bypass the guard.</t>
  </si>
  <si>
    <t>Previous governance retained</t>
  </si>
  <si>
    <t>v17.52 / v17.53</t>
  </si>
  <si>
    <t>Burst Auto/Severe equality and Structural Auto &gt;= Very poor floor remain active.</t>
  </si>
  <si>
    <t>No live formula errors after v17.54 guard.</t>
  </si>
  <si>
    <t>FINAL v17.55 ACOUSTIC VELOCITY REGRESSION</t>
  </si>
  <si>
    <t>Released acoustic calibration count</t>
  </si>
  <si>
    <t>Ductile iron + Grey cast iron + Carbon steel central material/diameter calibrations.</t>
  </si>
  <si>
    <t>External correlator benchmark</t>
  </si>
  <si>
    <t>Fuji LC-2500 / ADS Eureka2R</t>
  </si>
  <si>
    <t>All released central healthy references within ±10% of interpolated manufacturer benchmark.</t>
  </si>
  <si>
    <t>Velocity ordering</t>
  </si>
  <si>
    <t>Within each class set</t>
  </si>
  <si>
    <t>Higher reference wall does not map to lower healthy velocity.</t>
  </si>
  <si>
    <t>Duplicate released keys</t>
  </si>
  <si>
    <t>Material/class/diameter</t>
  </si>
  <si>
    <t>No duplicate released class/diameter acoustic calibration keys after GCI 350 correction.</t>
  </si>
  <si>
    <t>Copper route</t>
  </si>
  <si>
    <t>Copper acoustic remaining-life route intentionally disabled; Engineering Best-Practice and Direct Wall/NDT retained.</t>
  </si>
  <si>
    <t>100 mm Grey CI 1.20 m/ms</t>
  </si>
  <si>
    <t>Specific challenge case</t>
  </si>
  <si>
    <t>Measurement is physically valid and below healthy reference; equivalent wall/life route remains active.</t>
  </si>
  <si>
    <t>Condition / validity separation</t>
  </si>
  <si>
    <t>Calc Engine B58 / B71 / B125</t>
  </si>
  <si>
    <t>Below-healthy valid velocity is AMBER condition unless equivalent wall is at/below critical; broad invalidity gate remains separate.</t>
  </si>
  <si>
    <t>Planning sensitivity wording strengthened; no cosmetic change to engineering life formulas.</t>
  </si>
  <si>
    <t>No live formula errors after final acoustic changes and removal of unsupported LONGTEXT remnants.</t>
  </si>
  <si>
    <t>FINAL USER GUIDE CONSISTENCY CHECK</t>
  </si>
  <si>
    <t>Acoustic guidance</t>
  </si>
  <si>
    <t>Rows 216–242 rewritten to final v17.55 logic</t>
  </si>
  <si>
    <t>No remaining legacy statement that below-healthy velocity is automatically an identity failure or that Unknown class cannot influence acoustic life.</t>
  </si>
  <si>
    <t>Copper exclusion and GCI 350-mm correction included.</t>
  </si>
  <si>
    <t>Graph wording</t>
  </si>
  <si>
    <t>Failure Curve + paper Figure 3</t>
  </si>
  <si>
    <t>Planning sensitivity wording explicitly distinguishes connected model outputs from physical failure-date prediction.</t>
  </si>
  <si>
    <t>Engineering formula unchanged.</t>
  </si>
  <si>
    <t>FINAL v17.56 FULL COMBINATION / ROUTE REGRESSION</t>
  </si>
  <si>
    <t>Non-metallic published-life wiring</t>
  </si>
  <si>
    <t>All six non-metallic/structural materials</t>
  </si>
  <si>
    <t>B113:B116 route to I13/I14; metallic L13/L14 remains isolated.</t>
  </si>
  <si>
    <t>Non-metallic material differentiation</t>
  </si>
  <si>
    <t>PVC / HDPE / GRP / AC / Concrete / PCCP</t>
  </si>
  <si>
    <t>Same input set produces material-specific base-life/exponent/environment responses; outputs do not collapse to a generic metallic result.</t>
  </si>
  <si>
    <t>Material-differentiation regression complete.</t>
  </si>
  <si>
    <t>Engineering Best-Practice selectable combinations</t>
  </si>
  <si>
    <t>All 418 released EBP material/class/diameter combinations</t>
  </si>
  <si>
    <t>Every released valid combination returned VALID with finite non-negative life.</t>
  </si>
  <si>
    <t>418/418 released EBP combinations passed.</t>
  </si>
  <si>
    <t>Direct Wall selectable combinations</t>
  </si>
  <si>
    <t>All 305 released metallic Direct Wall combinations</t>
  </si>
  <si>
    <t>Reference/no-reference governance, selected-method validity and finite output behaviour checked.</t>
  </si>
  <si>
    <t>305/305 combinations passed; 915 threshold-state scenarios also passed.</t>
  </si>
  <si>
    <t>Acoustic selectable combinations</t>
  </si>
  <si>
    <t>251 released DI / GCI / Carbon steel acoustic combinations</t>
  </si>
  <si>
    <t>Calibration existence, healthy-reference identity, lower-velocity deterioration response and route validity checked.</t>
  </si>
  <si>
    <t>Copper and all other materials remain intentionally excluded from acoustic remaining-life assessment.</t>
  </si>
  <si>
    <t>Categorical options</t>
  </si>
  <si>
    <t>Soil / structural / cycling / joints / failure history / supply / consequence</t>
  </si>
  <si>
    <t>Every released option was exercised across metallic and non-metallic families; invalid pasted values were separately blocked.</t>
  </si>
  <si>
    <t>348 categorical-option cases passed.</t>
  </si>
  <si>
    <t>Numeric boundaries</t>
  </si>
  <si>
    <t>Date / age / length / pressures / rating / bursts / history / service pressure</t>
  </si>
  <si>
    <t>Boundary, zero, negative, text and out-of-range cases were checked with controlled INVALID behaviour where required.</t>
  </si>
  <si>
    <t>No live formula errors in invalid-state regressions.</t>
  </si>
  <si>
    <t>Metric / Imperial equivalence</t>
  </si>
  <si>
    <t>Representative routes/materials plus full diameter canonicalization</t>
  </si>
  <si>
    <t>Equivalent Metric/Imperial physical inputs map to the same canonical calculation basis and result.</t>
  </si>
  <si>
    <t>216 diameter label/canonicalization checks plus route-equivalence tests passed.</t>
  </si>
  <si>
    <t>Workbook-wide scan</t>
  </si>
  <si>
    <t>No live formula errors or unsupported formula tokens found.</t>
  </si>
  <si>
    <t>Global integrity scan clean.</t>
  </si>
  <si>
    <t>Grey CI class/diameter intersection</t>
  </si>
  <si>
    <t>Class 4 restricted to 80–300 mm</t>
  </si>
  <si>
    <t>350–700 mm source rows contain Classes 1–3 only; dropdown now removes Class 4 for those diameters.</t>
  </si>
  <si>
    <t>Eliminates six previously selectable no-reference pairs.</t>
  </si>
  <si>
    <t>Reference-pair coverage</t>
  </si>
  <si>
    <t>Every selectable specific-metal material/class/diameter pair</t>
  </si>
  <si>
    <t>No selectable released reference-dependent pair lacks exactly one embedded reference.</t>
  </si>
  <si>
    <t>Reference coverage and duplicate-key checks complete.</t>
  </si>
  <si>
    <t>v17.57 MEASURED-ROUTE CRITICAL-WALL REGRESSION</t>
  </si>
  <si>
    <t>Direct Wall critical-wall independence</t>
  </si>
  <si>
    <t>All 305 combinations</t>
  </si>
  <si>
    <t>Measured wall changes do not move the pressure-required planning-critical wall.</t>
  </si>
  <si>
    <t>915-scenario direct-wall regression.</t>
  </si>
  <si>
    <t>305 combinations × nominal/intermediate/below-critical</t>
  </si>
  <si>
    <t>Life is monotonic with measured wall and below-critical wall reports RED.</t>
  </si>
  <si>
    <t>915/915 scenarios passed.</t>
  </si>
  <si>
    <t>Acoustic critical-wall independence</t>
  </si>
  <si>
    <t>All 251 combinations</t>
  </si>
  <si>
    <t>Measured velocity/equivalent wall does not move the pressure-required critical wall; healthy/reduced relationships remain controlled.</t>
  </si>
  <si>
    <t>Released DI/GCI/carbon-steel acoustic set only.</t>
  </si>
  <si>
    <t>Engineering Auto pressure floor</t>
  </si>
  <si>
    <t>252 age/soil/material Auto-factor cases</t>
  </si>
  <si>
    <t>Auto structural factor remained inside the governed 0.55–1.00 envelope.</t>
  </si>
  <si>
    <t>No harsher-than-floor result found.</t>
  </si>
  <si>
    <t>v17.58 FAILURE-CURVE / BOUNDARY REGRESSION</t>
  </si>
  <si>
    <t>Graph/current-life equality</t>
  </si>
  <si>
    <t>EBP / Direct Wall / Acoustic / non-metallic representative routes</t>
  </si>
  <si>
    <t>At equal current pressure, Failure Curve central life equals main-engine central life.</t>
  </si>
  <si>
    <t>Graph/main-engine equality regression complete.</t>
  </si>
  <si>
    <t>Direct Wall graph sensitivity</t>
  </si>
  <si>
    <t>Direct Wall healthy/intermediate/near-critical cases</t>
  </si>
  <si>
    <t>Pressure-sensitivity graph reflects measured reserve and does not revert to generic healthy life.</t>
  </si>
  <si>
    <t>Monotonic graph checks passed.</t>
  </si>
  <si>
    <t>Intermittent graph allowance</t>
  </si>
  <si>
    <t>Metallic intermittent cases</t>
  </si>
  <si>
    <t>Failure Curve includes intermittent allowance and matches main engine at equal pressure.</t>
  </si>
  <si>
    <t>Intermittent edge regression passed.</t>
  </si>
  <si>
    <t>Burst-history period guard</t>
  </si>
  <si>
    <t>blank / zero / positive / negative / text history</t>
  </si>
  <si>
    <t>Negative/nonnumeric histories are blocked; legitimate zero and blank cases are handled without formula error.</t>
  </si>
  <si>
    <t>Zero failures over valid history now classifies Nil.</t>
  </si>
  <si>
    <t>v17.59 GRAPH PRESSURE-BASIS REGRESSION</t>
  </si>
  <si>
    <t>Peak-pressure basis</t>
  </si>
  <si>
    <t>Graph pressure modifier uses operating pressure + entered surge, matching the main engine.</t>
  </si>
  <si>
    <t>Formula and equality checks complete.</t>
  </si>
  <si>
    <t>Graph/current equality</t>
  </si>
  <si>
    <t>EBP / Direct Wall / Acoustic / non-metallic / intermittent / post-nominal</t>
  </si>
  <si>
    <t>Current-pressure graph point equals the main-engine central life.</t>
  </si>
  <si>
    <t>Representative route and edge cases passed.</t>
  </si>
  <si>
    <t>v17.60 FINAL EXHAUSTIVE VALIDATION</t>
  </si>
  <si>
    <t>Selectable combination coverage</t>
  </si>
  <si>
    <t>418 EBP + 305 Direct Wall + 251 Acoustic released combinations</t>
  </si>
  <si>
    <t>Reference coverage, route validity and finite outputs checked across all released discrete combinations.</t>
  </si>
  <si>
    <t>Counts updated after material-specific non-metallic diameter scopes.</t>
  </si>
  <si>
    <t>Direct Wall threshold scenarios</t>
  </si>
  <si>
    <t>305 combinations × 3 wall cases = 915 scenarios</t>
  </si>
  <si>
    <t>Critical wall independent of measurement; life monotonic; below-critical RED.</t>
  </si>
  <si>
    <t>915/915 passed.</t>
  </si>
  <si>
    <t>Acoustic physics/relationship</t>
  </si>
  <si>
    <t>251 released acoustic combinations</t>
  </si>
  <si>
    <t>Healthy identity, lower-velocity deterioration response, water-only ceiling and critical relationship checked; Copper excluded.</t>
  </si>
  <si>
    <t>251/251 released reference combinations passed.</t>
  </si>
  <si>
    <t>Categorical-option matrix</t>
  </si>
  <si>
    <t>348 categorical-option cases across metallic and non-metallic families</t>
  </si>
  <si>
    <t>Every released dropdown option returned controlled valid outputs.</t>
  </si>
  <si>
    <t>174 metallic + 174 non-metallic categorical tests.</t>
  </si>
  <si>
    <t>Invalid-input matrix</t>
  </si>
  <si>
    <t>45 boundary/invalid cases plus multi-invalid fuzz cases</t>
  </si>
  <si>
    <t>Invalid cases controlled; no live spreadsheet formula errors.</t>
  </si>
  <si>
    <t>Includes text, negatives, out-of-range integers and missing-history combinations.</t>
  </si>
  <si>
    <t>Metric/Imperial equivalence</t>
  </si>
  <si>
    <t>Metric/Imperial representative engineering routes + all released diameter canonicalizations</t>
  </si>
  <si>
    <t>Equivalent physical inputs map to the same canonical calculation basis.</t>
  </si>
  <si>
    <t>216 released diameter label/canonicalization checks plus route equivalence tests.</t>
  </si>
  <si>
    <t>Graph/main-engine equality</t>
  </si>
  <si>
    <t>21 representative route/material graph cases plus edge cases</t>
  </si>
  <si>
    <t>Graph point at current operating pressure equals the main-engine central life.</t>
  </si>
  <si>
    <t>Monotonic pressure/risk checks passed.</t>
  </si>
  <si>
    <t>Formula integrity / unsupported functions</t>
  </si>
  <si>
    <t>Workbook-wide</t>
  </si>
  <si>
    <t>No live formula errors or unsupported _xlfn/LONGTEXT-style remnants in the QA state.</t>
  </si>
  <si>
    <t>Final formula scans clean.</t>
  </si>
  <si>
    <t>v17.62 ACOUSTIC INVALID-TEXT REGRESSION</t>
  </si>
  <si>
    <t>Measured velocity text input</t>
  </si>
  <si>
    <t>Dashboard B11 text / invalid velocity</t>
  </si>
  <si>
    <t>Measured-velocity assessment becomes INVALID without propagating spreadsheet errors.</t>
  </si>
  <si>
    <t>Invalid-text regression passed.</t>
  </si>
  <si>
    <t>Velocity helper range integrity</t>
  </si>
  <si>
    <t>No stale row-289 extrema and no helper error propagation.</t>
  </si>
  <si>
    <t>Helper-range formula scan clean.</t>
  </si>
  <si>
    <t>v17.64 ZERO-FAILURE HISTORY REGRESSION</t>
  </si>
  <si>
    <t>Zero recorded bursts</t>
  </si>
  <si>
    <t>Zero recorded bursts with valid positive history</t>
  </si>
  <si>
    <t>Calculated rate = 0; Auto classification = Nil; retention = 1.00.</t>
  </si>
  <si>
    <t>Numeric-zero handling corrected in v17.64.</t>
  </si>
  <si>
    <t>Threshold boundaries</t>
  </si>
  <si>
    <t>0 / 0.1 / 12.5 / &gt;12.5 / 20 / &gt;20 / 40 / 60 / 80 / 100</t>
  </si>
  <si>
    <t>Nil/Minimal/Average/Severe thresholds and Severe graduation remain correct.</t>
  </si>
  <si>
    <t>Boundary regression passed.</t>
  </si>
  <si>
    <t>Auto vs manual Severe</t>
  </si>
  <si>
    <t>Rates above 20</t>
  </si>
  <si>
    <t>Auto-derived Severe and manual Severe use the same graduated Severe retention.</t>
  </si>
  <si>
    <t>Identity regression passed.</t>
  </si>
  <si>
    <t>v17.65 INVALID-INPUT / ACTION REGRESSION</t>
  </si>
  <si>
    <t>Invalid numeric text</t>
  </si>
  <si>
    <t>Pressure / what-if / surge / non-metal rating / minimum service text</t>
  </si>
  <si>
    <t>Relevant assessments become INVALID and workbook-wide live error scan remains zero.</t>
  </si>
  <si>
    <t>Canonical numeric guards functioning.</t>
  </si>
  <si>
    <t>Metallic rating text</t>
  </si>
  <si>
    <t>Metallic pressure-rating text</t>
  </si>
  <si>
    <t>Metallic route remains valid because non-metallic pressure rating is inactive and cannot corrupt hidden calculations.</t>
  </si>
  <si>
    <t>Route-isolation regression passed.</t>
  </si>
  <si>
    <t>Recommendation formula</t>
  </si>
  <si>
    <t>No #NAME?/LONGTEXT; metallic/non-metallic LOW/MEDIUM/HIGH/VERY HIGH/NOT ASSESSED wording checked.</t>
  </si>
  <si>
    <t>Action helper architecture passed.</t>
  </si>
  <si>
    <t>Non-metal diameter neutrality</t>
  </si>
  <si>
    <t>6 materials × 27 diameters = 162 cases</t>
  </si>
  <si>
    <t>Zero life spread at fixed age/pressure/rating/factors, by design.</t>
  </si>
  <si>
    <t>Diameter-specific effects require material-specific section/load data.</t>
  </si>
  <si>
    <t>v17.66 INVALID-INPUT ZERO-ERROR REGRESSION</t>
  </si>
  <si>
    <t>Surveyed length text</t>
  </si>
  <si>
    <t>Dashboard B4 = text</t>
  </si>
  <si>
    <t>Assessment INVALID and workbook-wide live formula-error scan = zero.</t>
  </si>
  <si>
    <t>Length propagation guard passed.</t>
  </si>
  <si>
    <t>Surge text</t>
  </si>
  <si>
    <t>Dashboard B17 = text</t>
  </si>
  <si>
    <t>Assessment INVALID; Failure Curve blanks; workbook-wide live formula-error scan = zero.</t>
  </si>
  <si>
    <t>Surge invalid-state regression passed.</t>
  </si>
  <si>
    <t>Valid graph equality</t>
  </si>
  <si>
    <t>Representative metallic, Direct Wall, Acoustic and non-metallic cases</t>
  </si>
  <si>
    <t>Failure Curve current-pressure point remains equal to main-engine life.</t>
  </si>
  <si>
    <t>Graph equality regression passed.</t>
  </si>
  <si>
    <t>v17.67 MATERIAL-SPECIFIC DIAMETER REGRESSION</t>
  </si>
  <si>
    <t>PVC / uPVC diameter scope</t>
  </si>
  <si>
    <t>PVC/uPVC 100–1500 mm released list</t>
  </si>
  <si>
    <t>All selectable values VALID; deliberately out-of-scope 25/50/75/2000 mm values blocked.</t>
  </si>
  <si>
    <t>Material-specific diameter scope verified.</t>
  </si>
  <si>
    <t>HDPE / MDPE diameter scope</t>
  </si>
  <si>
    <t>HDPE/MDPE 25–1650 mm released list</t>
  </si>
  <si>
    <t>All selectable values VALID; 1800/2000 mm pasted values blocked.</t>
  </si>
  <si>
    <t>GRP / Fiberglass diameter scope</t>
  </si>
  <si>
    <t>GRP/Fiberglass 25–2000 mm released list</t>
  </si>
  <si>
    <t>All selectable values VALID; outside-scope value blocked.</t>
  </si>
  <si>
    <t>AC / Concrete / PCCP scopes</t>
  </si>
  <si>
    <t>AC 100–900; Concrete 250–2000; PCCP 410–2000</t>
  </si>
  <si>
    <t>All released selectable values VALID; obviously undersized/out-of-scope combinations blocked.</t>
  </si>
  <si>
    <t>Material-specific scope regression passed.</t>
  </si>
  <si>
    <t>Material-change stale diameter</t>
  </si>
  <si>
    <t>144 material-transition cases</t>
  </si>
  <si>
    <t>Retained diameter/class remains valid only where it belongs to the new material; otherwise assessment blocks with INPUT CHECK REQUIRED.</t>
  </si>
  <si>
    <t>All 144 transitions behaved as designed.</t>
  </si>
  <si>
    <t>v17.68 DIAMETER SELECTOR REGRESSION</t>
  </si>
  <si>
    <t>AO selector integrity</t>
  </si>
  <si>
    <t>Selector contains numeric diameters/blanks only and pulls from the correct material-specific list.</t>
  </si>
  <si>
    <t>v17.68 matrix-selector regression passed.</t>
  </si>
  <si>
    <t>All diameter scopes</t>
  </si>
  <si>
    <t>All released metallic and non-metallic diameter lists</t>
  </si>
  <si>
    <t>Every released selectable value VALID; deliberately out-of-scope values INVALID.</t>
  </si>
  <si>
    <t>Metric and Imperial canonicalization checked.</t>
  </si>
  <si>
    <t>v17.69 FINAL RELEASE-CANDIDATE CLOSE-OUT</t>
  </si>
  <si>
    <t>Released discrete combinations</t>
  </si>
  <si>
    <t>418 EBP / 305 Direct Wall / 251 Acoustic</t>
  </si>
  <si>
    <t>100% of released material/class/diameter selection combinations covered by regression testing.</t>
  </si>
  <si>
    <t>Continuous numerical inputs are additionally tested at boundaries, extremes and randomized valid/invalid cases.</t>
  </si>
  <si>
    <t>Direct Wall threshold states</t>
  </si>
  <si>
    <t>915</t>
  </si>
  <si>
    <t>Three wall states per metallic combination; critical independence, monotonic life and below-critical RED checked.</t>
  </si>
  <si>
    <t>Acoustic reference governance</t>
  </si>
  <si>
    <t>251</t>
  </si>
  <si>
    <t>Released only for DI/GCI/carbon steel; Copper explicitly excluded from current wording and route validation.</t>
  </si>
  <si>
    <t>Non-metallic material scope</t>
  </si>
  <si>
    <t>113 released diameter selections</t>
  </si>
  <si>
    <t>PVC, HDPE, GRP, AC, Concrete and PCCP have material-specific diameter scopes and Engineering Best-Practice screening routes.</t>
  </si>
  <si>
    <t>Global formula integrity</t>
  </si>
  <si>
    <t>Zero live spreadsheet-error tokens and zero unsupported-function remnants found in QA state.</t>
  </si>
  <si>
    <t>Documentation consistency</t>
  </si>
  <si>
    <t>Dashboard / User Guide / Assumptions / Velocity QA / Audit</t>
  </si>
  <si>
    <t>Current acoustic material scope, release counts and non-metallic screening language reconciled.</t>
  </si>
  <si>
    <t>Release caveat</t>
  </si>
  <si>
    <t>Model is an engineering screening/planning tool, not a certified remaining-life guarantee. High-consequence decisions require appropriate evidence and engineering judgement.</t>
  </si>
  <si>
    <t>Native desktop Excel recalc/save/reopen smoke test recommended before external issue.</t>
  </si>
  <si>
    <t>v17.72 DEPENDENT DROPDOWN RELEASE REGRESSION</t>
  </si>
  <si>
    <t>Pipe type dropdown</t>
  </si>
  <si>
    <t>Dashboard B8</t>
  </si>
  <si>
    <t>Explicit list rule retained after export/re-import. Dynamic source gives 12 EBP, 6 Direct Wall/NDT and 3 Acoustic pipe types.</t>
  </si>
  <si>
    <t>Pipe class dropdown</t>
  </si>
  <si>
    <t>Dashboard B9</t>
  </si>
  <si>
    <t>Explicit list rule retained after export/re-import and follows current material/class helper list.</t>
  </si>
  <si>
    <t>Pipe diameter dropdown</t>
  </si>
  <si>
    <t>Dashboard B10</t>
  </si>
  <si>
    <t>Explicit list rule retained after export/re-import and follows current material/unit diameter helper list.</t>
  </si>
  <si>
    <t>Calculation regression</t>
  </si>
  <si>
    <t>Representative 100 mm GCI Engineering Best-Practice case</t>
  </si>
  <si>
    <t>B113:B116, RAG and core VALID status unchanged from v17.70.</t>
  </si>
  <si>
    <t>Dropdown correction does not alter engineering outputs.</t>
  </si>
  <si>
    <t>v17.73 PIPE-CATEGORY / CLASS REGRESSION</t>
  </si>
  <si>
    <t>GCI class differentiation</t>
  </si>
  <si>
    <t>All released GCI diameters; Class 1/2/3 and Class 4 where available; manual Good + Auto, plus all five structural states at 100 mm</t>
  </si>
  <si>
    <t>Higher GCI class never reduced life; manual structural selection no longer flattened category outputs.</t>
  </si>
  <si>
    <t>84 all-diameter GCI class/structural cases plus detailed 100 mm five-state regression passed.</t>
  </si>
  <si>
    <t>Auto structural route</t>
  </si>
  <si>
    <t>All released DI diameters; K9/K12/K14; manual Good + Auto</t>
  </si>
  <si>
    <t>Higher DI class never reduced life and class differentiation remained active.</t>
  </si>
  <si>
    <t>114 DI class/structural regression cases passed.</t>
  </si>
  <si>
    <t>Representative GCI/DI Direct Wall and GCI/Carbon Steel Acoustic cases compared before/after correction</t>
  </si>
  <si>
    <t>Direct Wall/NDT and Acoustic results were numerically identical before and after the L34 correction.</t>
  </si>
  <si>
    <t>Route isolation confirmed.</t>
  </si>
  <si>
    <t>Post-horizon rule</t>
  </si>
  <si>
    <t>1940 GCI EBP case across Class 1–4</t>
  </si>
  <si>
    <t>All classes remain 0 years after the 75-year EBP planning horizon is exhausted, by design; category alone cannot extend life without condition evidence.</t>
  </si>
  <si>
    <t>Post-horizon governance unchanged.</t>
  </si>
  <si>
    <t>Additional metallic category regression</t>
  </si>
  <si>
    <t>Carbon steel + Copper multi-category/reference cases; manual Good + Auto</t>
  </si>
  <si>
    <t>126 cases returned valid finite life outputs and no accidental flat life where reference categories differed.</t>
  </si>
  <si>
    <t>v17.73 final formula integrity</t>
  </si>
  <si>
    <t>Workbook-wide scan + dependent dropdown persistence</t>
  </si>
  <si>
    <t>No live spreadsheet formula errors; B8/B9/B10 list validation retained from v17.72.</t>
  </si>
  <si>
    <t>100 mm GCI display regression</t>
  </si>
  <si>
    <t>Class 2 Direct Wall/NDT at 6 mm and 7 mm</t>
  </si>
  <si>
    <t>Life calculations remain unchanged; displayed reserve changes from 38% AMBER to 65% GREEN under the baseline test inputs.</t>
  </si>
  <si>
    <t>Confirms reserve percentage and condition band respond independently of capped life.</t>
  </si>
  <si>
    <t>Engineering Best-Practice, Acoustic and Direct Wall without reference wall</t>
  </si>
  <si>
    <t>Structural-reserve line appears only for valid Direct Wall/NDT cases with an original/reference wall. Other result displays are unchanged.</t>
  </si>
  <si>
    <t>v17.75 PROTECTED USER RELEASE QA</t>
  </si>
  <si>
    <t>Protection coverage</t>
  </si>
  <si>
    <t>All 12 worksheets</t>
  </si>
  <si>
    <t>Every worksheet is password-protected; cells outside the approved Dashboard edit ranges remain locked.</t>
  </si>
  <si>
    <t>Controlled release password applied to each worksheet.</t>
  </si>
  <si>
    <t>Dashboard editability</t>
  </si>
  <si>
    <t>B2:B27 and D2:G2</t>
  </si>
  <si>
    <t>Requested Dashboard cells are unlocked; dropdown and validation records remain available.</t>
  </si>
  <si>
    <t>Calculation formulas are otherwise unchanged.</t>
  </si>
  <si>
    <t>Dashboard; Failure Curve; User Guide</t>
  </si>
  <si>
    <t>Nine internal calculation, assumption, source and QA worksheets are very hidden.</t>
  </si>
  <si>
    <t>All hidden worksheets remain in the workbook and calculate normally.</t>
  </si>
  <si>
    <t>Dashboard C10; Calc Engine B89</t>
  </si>
  <si>
    <t>Unsupported LONGTEXT calls removed and replaced with standard concatenation.</t>
  </si>
  <si>
    <t>No LONGTEXT or cached #NAME? remains.</t>
  </si>
  <si>
    <t>v17.76 VISIBLE-SHEET AUTOFIT QA</t>
  </si>
  <si>
    <t>Dashboard A1:Z70; Failure Curve A1:Q50; User Guide A1:F655</t>
  </si>
  <si>
    <t>Visible-sheet rows autofitted after final content; merged Dashboard output blocks manually expanded and visually checked.</t>
  </si>
  <si>
    <t>Dashboard row formatting allowed under protection; no calculation logic changed.</t>
  </si>
  <si>
    <t>v17.77 ALL-SHEET ROW-HEIGHT PERMISSION</t>
  </si>
  <si>
    <t>Format Rows is permitted under worksheet protection on every sheet.</t>
  </si>
  <si>
    <t>Content protection, input editability, formulas and visibility settings unchanged.</t>
  </si>
  <si>
    <t>FINAL ACOUSTIC VELOCITY QA — v17.70 RELEASE</t>
  </si>
  <si>
    <t>Released acoustic materials</t>
  </si>
  <si>
    <t>Ductile iron / Grey cast iron / Carbon steel</t>
  </si>
  <si>
    <t>Released material/diameter QA summary rows</t>
  </si>
  <si>
    <t>Independent correlator benchmark</t>
  </si>
  <si>
    <t>Fuji TECOM LC-2500 + ADS Eureka2R</t>
  </si>
  <si>
    <t>Benchmark reasonableness band</t>
  </si>
  <si>
    <t>±10%</t>
  </si>
  <si>
    <t>Benchmark result</t>
  </si>
  <si>
    <t>ALL PASS</t>
  </si>
  <si>
    <t>Class/wall velocity ordering</t>
  </si>
  <si>
    <t>Duplicate released class/diameter keys</t>
  </si>
  <si>
    <t>Copper acoustic life route</t>
  </si>
  <si>
    <t>INTENTIONALLY EXCLUDED — use Engineering Best-Practice or Direct Wall/NDT</t>
  </si>
  <si>
    <t>Diameter mm</t>
  </si>
  <si>
    <t>Healthy low m/ms</t>
  </si>
  <si>
    <t>Healthy high m/ms</t>
  </si>
  <si>
    <t>Central healthy m/ms</t>
  </si>
  <si>
    <t>Central wall mm</t>
  </si>
  <si>
    <t>External benchmark m/ms</t>
  </si>
  <si>
    <t>Delta vs benchmark</t>
  </si>
  <si>
    <t>Benchmark QA</t>
  </si>
  <si>
    <t>External source</t>
  </si>
  <si>
    <t>Below water-only ceiling</t>
  </si>
  <si>
    <t>Wall/velocity ordering</t>
  </si>
  <si>
    <t>Fuji TECOM LC-2500; ADS Eureka2R used as independent correlator cross-check</t>
  </si>
  <si>
    <t>Healthy reference reasonableness only; valid field velocity may be lower and then acts as condition evidence.</t>
  </si>
  <si>
    <t>EXTERNAL SOURCES / FINAL INTERPRETATION</t>
  </si>
  <si>
    <t>Fuji TECOM LC-2500 velocity table</t>
  </si>
  <si>
    <t>https://usermanual.wiki/Document/LC2500e.944684935.pdf</t>
  </si>
  <si>
    <t>ADS Eureka2R velocity / filter lookup tables</t>
  </si>
  <si>
    <t>https://manualzz.com/doc/o/1co9q6/ads-eureka2r-user-manual-velocity-and-filter-look-up-tables</t>
  </si>
  <si>
    <t>Korteweg-type wall/velocity relationship — wall-thickness research</t>
  </si>
  <si>
    <t>https://pmc.ncbi.nlm.nih.gov/articles/PMC3892888/</t>
  </si>
  <si>
    <t>Ghidaoui et al. 2005, A Review of Water Hammer Theory and Practice</t>
  </si>
  <si>
    <t>https://doi.org/10.1115/1.1828050</t>
  </si>
  <si>
    <t>DIPRA Cast Iron Pipe Handbook — ductile iron modulus</t>
  </si>
  <si>
    <t>https://dipra.org/wp-content/uploads/2025/07/Cast_Iron_Pipe_Handbook_1984_-_Sixth_Edition.pdf</t>
  </si>
  <si>
    <t>Manufacturer correlator tables are independent reasonableness benchmarks. They are not universal field constants; local wave-speed calibration is preferred where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</si>
</sst>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0.000"/>
    <numFmt numFmtId="166" formatCode="0.000&quot;x&quot;"/>
    <numFmt numFmtId="167" formatCode="0.000\ &quot;m/ms&quot;"/>
    <numFmt numFmtId="168" formatCode="0.00\ &quot;mm&quot;"/>
    <numFmt numFmtId="169" formatCode="0.0\ &quot;years&quot;"/>
    <numFmt numFmtId="170" formatCode="dd\-mmm\-yyyy"/>
    <numFmt numFmtId="171" formatCode="0.0"/>
    <numFmt numFmtId="172" formatCode="0.000000000"/>
    <numFmt numFmtId="173" formatCode="0.00&quot;x&quot;"/>
    <numFmt numFmtId="174" formatCode="\+0.0\ &quot;years&quot;;\-0.0\ &quot;years&quot;;0.0\ &quot;years&quot;"/>
  </numFmts>
  <fonts count="24">
    <font>
      <sz val="11"/>
      <name val="Carlito"/>
    </font>
    <font>
      <b/>
      <sz val="16"/>
      <color rgb="FFFFFFFF"/>
      <name val="Carlito"/>
    </font>
    <font>
      <i/>
      <sz val="11"/>
      <color rgb="FF1F1F1F"/>
      <name val="Carlito"/>
    </font>
    <font>
      <b/>
      <sz val="11"/>
      <color rgb="FFFFFFFF"/>
      <name val="Carlito"/>
    </font>
    <font>
      <b/>
      <sz val="11"/>
      <name val="Carlito"/>
    </font>
    <font>
      <i/>
      <sz val="11"/>
      <name val="Carlito"/>
    </font>
    <font>
      <b/>
      <i/>
      <sz val="11"/>
      <name val="Carlito"/>
    </font>
    <font>
      <b/>
      <sz val="11"/>
      <color rgb="FF000000"/>
      <name val="Carlito"/>
    </font>
    <font>
      <b/>
      <sz val="15"/>
      <color rgb="FFFFFFFF"/>
      <name val="Carlito"/>
    </font>
    <font>
      <sz val="11"/>
      <color rgb="FF000000"/>
      <name val="Carlito"/>
    </font>
    <font>
      <b/>
      <i/>
      <sz val="11"/>
      <color rgb="FF000000"/>
      <name val="Carlito"/>
    </font>
    <font>
      <b/>
      <sz val="15"/>
      <color rgb="FF000000"/>
      <name val="Carlito"/>
    </font>
    <font>
      <b/>
      <sz val="13"/>
      <color rgb="FF000000"/>
      <name val="Carlito"/>
    </font>
    <font>
      <b/>
      <sz val="18"/>
      <color rgb="FFFFFFFF"/>
      <name val="Carlito"/>
    </font>
    <font>
      <b/>
      <i/>
      <sz val="16"/>
      <color rgb="FFFFFFFF"/>
      <name val="Carlito"/>
    </font>
    <font>
      <b/>
      <sz val="16"/>
      <name val="Carlito"/>
    </font>
    <font>
      <b/>
      <sz val="11"/>
      <color rgb="FF7F6000"/>
      <name val="Carlito"/>
    </font>
    <font>
      <b/>
      <sz val="12"/>
      <color rgb="FF000000"/>
      <name val="Carlito"/>
    </font>
    <font>
      <b/>
      <sz val="18"/>
      <color rgb="FFC00000"/>
      <name val="Carlito"/>
    </font>
    <font>
      <b/>
      <sz val="14"/>
      <color rgb="FFFFFFFF"/>
      <name val="Carlito"/>
    </font>
    <font>
      <b/>
      <sz val="11"/>
      <color rgb="FF17365D"/>
      <name val="Carlito"/>
    </font>
    <font>
      <sz val="8"/>
      <color rgb="FFFFFFFF"/>
      <name val="Carlito"/>
    </font>
    <font>
      <b/>
      <sz val="11"/>
      <name val="Arial"/>
    </font>
    <font>
      <sz val="11"/>
      <name val="Arial"/>
    </font>
  </fonts>
  <fills count="43">
    <fill>
      <patternFill patternType="none"/>
    </fill>
    <fill>
      <patternFill patternType="gray125"/>
    </fill>
    <fill>
      <patternFill patternType="solid">
        <fgColor rgb="FFD9EAF7"/>
      </patternFill>
    </fill>
    <fill>
      <patternFill patternType="solid">
        <fgColor rgb="FF4472C4"/>
      </patternFill>
    </fill>
    <fill>
      <patternFill patternType="solid">
        <fgColor rgb="FFFFF2CC"/>
      </patternFill>
    </fill>
    <fill>
      <patternFill patternType="solid">
        <fgColor rgb="FF808080"/>
      </patternFill>
    </fill>
    <fill>
      <patternFill patternType="solid">
        <fgColor rgb="FFA6A6A6"/>
      </patternFill>
    </fill>
    <fill>
      <patternFill patternType="solid">
        <fgColor rgb="FF7F7F7F"/>
      </patternFill>
    </fill>
    <fill>
      <patternFill patternType="solid">
        <fgColor rgb="FF4472C4"/>
      </patternFill>
    </fill>
    <fill>
      <patternFill patternType="solid">
        <fgColor rgb="FFC00000"/>
      </patternFill>
    </fill>
    <fill>
      <patternFill patternType="solid">
        <fgColor rgb="FF4472C4"/>
      </patternFill>
    </fill>
    <fill>
      <patternFill patternType="solid">
        <fgColor rgb="FFFFC000"/>
      </patternFill>
    </fill>
    <fill>
      <patternFill patternType="solid">
        <fgColor rgb="FFD9EAF7"/>
      </patternFill>
    </fill>
    <fill>
      <patternFill patternType="solid">
        <fgColor rgb="FF4472C4"/>
      </patternFill>
    </fill>
    <fill>
      <patternFill patternType="solid">
        <fgColor rgb="FFEAF2F8"/>
      </patternFill>
    </fill>
    <fill>
      <patternFill patternType="solid">
        <fgColor rgb="FF4472C4"/>
      </patternFill>
    </fill>
    <fill>
      <patternFill patternType="solid">
        <fgColor rgb="FFD9EAF7"/>
      </patternFill>
    </fill>
    <fill>
      <patternFill patternType="solid">
        <fgColor rgb="FF1F4E78"/>
      </patternFill>
    </fill>
    <fill>
      <patternFill patternType="solid">
        <fgColor rgb="FFF2F2F2"/>
      </patternFill>
    </fill>
    <fill>
      <patternFill patternType="solid">
        <fgColor rgb="FFFFFFFF"/>
      </patternFill>
    </fill>
    <fill>
      <patternFill patternType="solid">
        <fgColor rgb="FF1F4E78"/>
      </patternFill>
    </fill>
    <fill>
      <patternFill patternType="solid">
        <fgColor rgb="FF1F4E78"/>
      </patternFill>
    </fill>
    <fill>
      <patternFill patternType="solid">
        <fgColor rgb="FF1F4E78"/>
      </patternFill>
    </fill>
    <fill>
      <patternFill patternType="solid">
        <fgColor rgb="FF1F4E78"/>
      </patternFill>
    </fill>
    <fill>
      <patternFill patternType="solid">
        <fgColor rgb="FF1F4E78"/>
      </patternFill>
    </fill>
    <fill>
      <patternFill patternType="solid">
        <fgColor rgb="FFC65911"/>
      </patternFill>
    </fill>
    <fill>
      <patternFill patternType="solid">
        <fgColor rgb="FFF2F2F2"/>
      </patternFill>
    </fill>
    <fill>
      <patternFill patternType="solid">
        <fgColor rgb="FF1F4E78"/>
      </patternFill>
    </fill>
    <fill>
      <patternFill patternType="solid">
        <fgColor rgb="FF1F4E78"/>
      </patternFill>
    </fill>
    <fill>
      <patternFill patternType="solid">
        <fgColor rgb="FF4472C4"/>
      </patternFill>
    </fill>
    <fill>
      <patternFill patternType="solid">
        <fgColor rgb="FFFFF2CC"/>
      </patternFill>
    </fill>
    <fill>
      <patternFill patternType="solid">
        <fgColor rgb="FF1F4E78"/>
      </patternFill>
    </fill>
    <fill>
      <patternFill patternType="solid">
        <fgColor rgb="FFFFC000"/>
      </patternFill>
    </fill>
    <fill>
      <patternFill patternType="solid">
        <fgColor theme="0"/>
      </patternFill>
    </fill>
    <fill>
      <patternFill patternType="solid">
        <fgColor rgb="FFFFF2CC"/>
      </patternFill>
    </fill>
    <fill>
      <patternFill patternType="solid">
        <fgColor rgb="FFF2F2F2"/>
      </patternFill>
    </fill>
    <fill>
      <patternFill patternType="solid">
        <fgColor rgb="FFFFF2CC"/>
      </patternFill>
    </fill>
    <fill>
      <patternFill patternType="solid">
        <fgColor rgb="FFFFD966"/>
      </patternFill>
    </fill>
    <fill>
      <patternFill patternType="solid">
        <fgColor rgb="FFFFF2CC"/>
      </patternFill>
    </fill>
    <fill>
      <patternFill patternType="solid">
        <fgColor rgb="FFFFFFFF"/>
      </patternFill>
    </fill>
    <fill>
      <patternFill patternType="solid">
        <fgColor rgb="FF17365D"/>
      </patternFill>
    </fill>
    <fill>
      <patternFill patternType="solid">
        <fgColor rgb="FF2F7F7A"/>
      </patternFill>
    </fill>
    <fill>
      <patternFill patternType="solid">
        <fgColor rgb="FFE7E6E6"/>
      </patternFill>
    </fill>
  </fills>
  <borders count="4">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2"/>
  </cellStyleXfs>
  <cellXfs count="158">
    <xf numFmtId="0" fontId="0" fillId="0" borderId="0" xfId="0" applyBorder="1"/>
    <xf numFmtId="0" fontId="0" fillId="0" borderId="0" xfId="0" applyBorder="1" applyAlignment="1">
      <alignment wrapText="1"/>
    </xf>
    <xf numFmtId="9" fontId="0" fillId="0" borderId="0" xfId="0" applyNumberFormat="1" applyBorder="1" applyAlignment="1">
      <alignment wrapText="1"/>
    </xf>
    <xf numFmtId="0" fontId="3" fillId="6" borderId="0" xfId="0" applyFont="1" applyFill="1" applyBorder="1"/>
    <xf numFmtId="0" fontId="3" fillId="5" borderId="0" xfId="0" applyFont="1" applyFill="1" applyBorder="1" applyAlignment="1">
      <alignment wrapText="1"/>
    </xf>
    <xf numFmtId="0" fontId="3" fillId="3" borderId="0" xfId="0" applyFont="1" applyFill="1" applyBorder="1" applyAlignment="1">
      <alignment wrapText="1"/>
    </xf>
    <xf numFmtId="0" fontId="3" fillId="7" borderId="0" xfId="0" applyFont="1" applyFill="1" applyBorder="1"/>
    <xf numFmtId="0" fontId="3" fillId="8" borderId="0" xfId="0" applyFont="1" applyFill="1" applyBorder="1"/>
    <xf numFmtId="0" fontId="3" fillId="10" borderId="0" xfId="0" applyFont="1" applyFill="1" applyBorder="1"/>
    <xf numFmtId="0" fontId="7" fillId="11" borderId="0" xfId="0" applyFont="1" applyFill="1" applyBorder="1" applyAlignment="1">
      <alignment wrapText="1"/>
    </xf>
    <xf numFmtId="0" fontId="0" fillId="0" borderId="0" xfId="0" applyBorder="1" applyAlignment="1">
      <alignment horizontal="left" wrapText="1"/>
    </xf>
    <xf numFmtId="0" fontId="3" fillId="17" borderId="0" xfId="0" applyFont="1" applyFill="1" applyBorder="1" applyAlignment="1">
      <alignment wrapText="1"/>
    </xf>
    <xf numFmtId="0" fontId="3" fillId="3" borderId="0" xfId="0" applyFont="1" applyFill="1" applyBorder="1" applyAlignment="1">
      <alignment horizontal="center" wrapText="1"/>
    </xf>
    <xf numFmtId="0" fontId="4" fillId="18" borderId="0" xfId="0" applyFont="1" applyFill="1" applyBorder="1" applyAlignment="1">
      <alignment wrapText="1"/>
    </xf>
    <xf numFmtId="0" fontId="4" fillId="4" borderId="0" xfId="0" applyFont="1" applyFill="1" applyBorder="1" applyAlignment="1">
      <alignment wrapText="1"/>
    </xf>
    <xf numFmtId="0" fontId="3" fillId="9" borderId="0" xfId="0" applyFont="1" applyFill="1" applyBorder="1" applyAlignment="1">
      <alignment wrapText="1"/>
    </xf>
    <xf numFmtId="0" fontId="3" fillId="20" borderId="0" xfId="0" applyFont="1" applyFill="1" applyBorder="1" applyAlignment="1">
      <alignment wrapText="1"/>
    </xf>
    <xf numFmtId="0" fontId="3" fillId="21" borderId="0" xfId="0" applyFont="1" applyFill="1" applyBorder="1" applyAlignment="1">
      <alignment wrapText="1"/>
    </xf>
    <xf numFmtId="0" fontId="3" fillId="22" borderId="0" xfId="0" applyFont="1" applyFill="1" applyBorder="1" applyAlignment="1">
      <alignment wrapText="1"/>
    </xf>
    <xf numFmtId="0" fontId="3" fillId="23" borderId="0" xfId="0" applyFont="1" applyFill="1" applyBorder="1" applyAlignment="1">
      <alignment wrapText="1"/>
    </xf>
    <xf numFmtId="0" fontId="3" fillId="24" borderId="0" xfId="0" applyFont="1" applyFill="1" applyBorder="1" applyAlignment="1">
      <alignment wrapText="1"/>
    </xf>
    <xf numFmtId="0" fontId="3" fillId="27" borderId="0" xfId="0" applyFont="1" applyFill="1" applyBorder="1" applyAlignment="1">
      <alignment wrapText="1"/>
    </xf>
    <xf numFmtId="0" fontId="3" fillId="28" borderId="0" xfId="0" applyFont="1" applyFill="1" applyBorder="1" applyAlignment="1">
      <alignment wrapText="1"/>
    </xf>
    <xf numFmtId="0" fontId="3" fillId="29" borderId="0" xfId="0" applyFont="1" applyFill="1" applyBorder="1" applyAlignment="1">
      <alignment wrapText="1"/>
    </xf>
    <xf numFmtId="0" fontId="3" fillId="31" borderId="0" xfId="0" applyFont="1" applyFill="1" applyBorder="1" applyAlignment="1">
      <alignment wrapText="1"/>
    </xf>
    <xf numFmtId="15" fontId="3" fillId="3" borderId="0" xfId="0" applyNumberFormat="1" applyFont="1" applyFill="1" applyBorder="1" applyAlignment="1">
      <alignment horizontal="left" wrapText="1"/>
    </xf>
    <xf numFmtId="0" fontId="0" fillId="0" borderId="0" xfId="0" applyBorder="1" applyAlignment="1">
      <alignment horizontal="center" wrapText="1"/>
    </xf>
    <xf numFmtId="0" fontId="0" fillId="0" borderId="3" xfId="0" applyBorder="1" applyAlignment="1">
      <alignment wrapText="1"/>
    </xf>
    <xf numFmtId="164" fontId="0" fillId="0" borderId="0" xfId="0" applyNumberFormat="1" applyBorder="1" applyAlignment="1">
      <alignment wrapText="1"/>
    </xf>
    <xf numFmtId="0" fontId="8" fillId="17" borderId="0" xfId="0" applyFont="1" applyFill="1" applyBorder="1"/>
    <xf numFmtId="0" fontId="0" fillId="12" borderId="0" xfId="0" applyFill="1" applyBorder="1" applyAlignment="1">
      <alignment wrapText="1"/>
    </xf>
    <xf numFmtId="0" fontId="0" fillId="16" borderId="0" xfId="0" applyFill="1" applyBorder="1" applyAlignment="1">
      <alignment horizontal="left" wrapText="1"/>
    </xf>
    <xf numFmtId="0" fontId="3" fillId="13" borderId="0" xfId="0" applyFont="1" applyFill="1" applyBorder="1" applyAlignment="1">
      <alignment wrapText="1"/>
    </xf>
    <xf numFmtId="165" fontId="0" fillId="0" borderId="0" xfId="0" applyNumberFormat="1" applyBorder="1" applyAlignment="1">
      <alignment wrapText="1"/>
    </xf>
    <xf numFmtId="0" fontId="3" fillId="15" borderId="0" xfId="0" applyFont="1" applyFill="1" applyBorder="1" applyAlignment="1">
      <alignment horizontal="center" wrapText="1"/>
    </xf>
    <xf numFmtId="0" fontId="3" fillId="15" borderId="0" xfId="0" applyFont="1" applyFill="1" applyBorder="1" applyAlignment="1">
      <alignment wrapText="1"/>
    </xf>
    <xf numFmtId="0" fontId="1" fillId="25" borderId="0" xfId="0" applyFont="1" applyFill="1" applyBorder="1" applyAlignment="1">
      <alignment vertical="center" wrapText="1"/>
    </xf>
    <xf numFmtId="0" fontId="14" fillId="25" borderId="0" xfId="0" applyFont="1" applyFill="1" applyBorder="1" applyAlignment="1">
      <alignment horizontal="left" vertical="center" wrapText="1"/>
    </xf>
    <xf numFmtId="0" fontId="1" fillId="0" borderId="0" xfId="0" applyFont="1" applyBorder="1" applyAlignment="1">
      <alignment horizontal="center" vertical="center" wrapText="1"/>
    </xf>
    <xf numFmtId="0" fontId="3" fillId="0" borderId="0" xfId="0" applyFont="1" applyBorder="1" applyAlignment="1">
      <alignment horizontal="center" wrapText="1"/>
    </xf>
    <xf numFmtId="0" fontId="10" fillId="18" borderId="0" xfId="0" applyFont="1" applyFill="1" applyBorder="1" applyAlignment="1">
      <alignment vertical="center" wrapText="1"/>
    </xf>
    <xf numFmtId="0" fontId="5" fillId="18" borderId="0" xfId="0" applyFont="1" applyFill="1" applyBorder="1" applyAlignment="1">
      <alignment horizontal="left" vertical="center" wrapText="1"/>
    </xf>
    <xf numFmtId="0" fontId="2" fillId="0" borderId="0" xfId="0" applyFont="1" applyBorder="1" applyAlignment="1">
      <alignment horizontal="center" vertical="center" wrapText="1"/>
    </xf>
    <xf numFmtId="0" fontId="7" fillId="18" borderId="0" xfId="0" applyFont="1" applyFill="1" applyBorder="1" applyAlignment="1">
      <alignment vertical="center" wrapText="1"/>
    </xf>
    <xf numFmtId="0" fontId="0" fillId="0" borderId="0" xfId="0" applyBorder="1" applyAlignment="1">
      <alignment vertical="center" wrapText="1"/>
    </xf>
    <xf numFmtId="0" fontId="6" fillId="26" borderId="1" xfId="0" applyFont="1" applyFill="1" applyBorder="1" applyAlignment="1">
      <alignment horizontal="left" vertical="center" wrapText="1"/>
    </xf>
    <xf numFmtId="0" fontId="16" fillId="36" borderId="0" xfId="0" applyFont="1" applyFill="1" applyBorder="1" applyAlignment="1">
      <alignment vertical="center" wrapText="1"/>
    </xf>
    <xf numFmtId="0" fontId="16" fillId="36" borderId="0" xfId="0" applyFont="1" applyFill="1" applyBorder="1" applyAlignment="1">
      <alignment horizontal="left" vertical="center" wrapText="1"/>
    </xf>
    <xf numFmtId="0" fontId="4" fillId="0" borderId="0" xfId="0" applyFont="1" applyBorder="1" applyAlignment="1">
      <alignment vertical="center" wrapText="1"/>
    </xf>
    <xf numFmtId="0" fontId="5" fillId="33" borderId="0" xfId="0" applyFont="1" applyFill="1" applyBorder="1" applyAlignment="1">
      <alignment horizontal="left" vertical="center" wrapText="1"/>
    </xf>
    <xf numFmtId="0" fontId="7" fillId="0" borderId="0" xfId="0" applyFont="1" applyBorder="1" applyAlignment="1">
      <alignment vertical="center" wrapText="1"/>
    </xf>
    <xf numFmtId="0" fontId="7"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7" fillId="18" borderId="0" xfId="0" applyFont="1" applyFill="1" applyBorder="1" applyAlignment="1">
      <alignment horizontal="left" wrapText="1"/>
    </xf>
    <xf numFmtId="0" fontId="7" fillId="18" borderId="0" xfId="0" applyFont="1" applyFill="1" applyBorder="1" applyAlignment="1">
      <alignment horizontal="center" wrapText="1"/>
    </xf>
    <xf numFmtId="166" fontId="7" fillId="19" borderId="0" xfId="0" applyNumberFormat="1" applyFont="1" applyFill="1" applyBorder="1" applyAlignment="1">
      <alignment horizontal="center" wrapText="1"/>
    </xf>
    <xf numFmtId="0" fontId="7" fillId="18" borderId="0" xfId="0" applyFont="1" applyFill="1" applyBorder="1" applyAlignment="1">
      <alignment wrapText="1"/>
    </xf>
    <xf numFmtId="167" fontId="9" fillId="19" borderId="0" xfId="0" applyNumberFormat="1" applyFont="1" applyFill="1" applyBorder="1" applyAlignment="1">
      <alignment wrapText="1"/>
    </xf>
    <xf numFmtId="164" fontId="9" fillId="19" borderId="0" xfId="0" applyNumberFormat="1" applyFont="1" applyFill="1" applyBorder="1" applyAlignment="1">
      <alignment wrapText="1"/>
    </xf>
    <xf numFmtId="0" fontId="9" fillId="19" borderId="0" xfId="0" applyFont="1" applyFill="1" applyBorder="1" applyAlignment="1">
      <alignment wrapText="1"/>
    </xf>
    <xf numFmtId="0" fontId="7" fillId="19" borderId="0" xfId="0" applyFont="1" applyFill="1" applyBorder="1" applyAlignment="1">
      <alignment wrapText="1"/>
    </xf>
    <xf numFmtId="168" fontId="9" fillId="19" borderId="0" xfId="0" applyNumberFormat="1" applyFont="1" applyFill="1" applyBorder="1" applyAlignment="1">
      <alignment wrapText="1"/>
    </xf>
    <xf numFmtId="169" fontId="9" fillId="19" borderId="0" xfId="0" applyNumberFormat="1" applyFont="1" applyFill="1" applyBorder="1" applyAlignment="1">
      <alignment wrapText="1"/>
    </xf>
    <xf numFmtId="0" fontId="0" fillId="0" borderId="0" xfId="0" applyBorder="1" applyAlignment="1">
      <alignment horizontal="left"/>
    </xf>
    <xf numFmtId="0" fontId="3" fillId="41" borderId="0" xfId="0" applyFont="1" applyFill="1" applyBorder="1" applyAlignment="1">
      <alignment horizontal="center" vertical="center" wrapText="1"/>
    </xf>
    <xf numFmtId="0" fontId="20" fillId="0" borderId="0" xfId="0" applyFont="1" applyBorder="1" applyAlignment="1">
      <alignment wrapText="1"/>
    </xf>
    <xf numFmtId="0" fontId="21" fillId="0" borderId="0" xfId="0" applyFont="1" applyBorder="1"/>
    <xf numFmtId="0" fontId="3" fillId="3" borderId="0" xfId="0" applyFont="1" applyFill="1" applyBorder="1" applyAlignment="1">
      <alignment horizontal="center" vertical="center" wrapText="1"/>
    </xf>
    <xf numFmtId="0" fontId="13" fillId="17" borderId="0" xfId="0" applyFont="1" applyFill="1" applyBorder="1" applyAlignment="1">
      <alignment horizontal="center" vertical="center" wrapText="1"/>
    </xf>
    <xf numFmtId="0" fontId="9" fillId="19" borderId="0" xfId="0" applyFont="1" applyFill="1" applyBorder="1" applyAlignment="1">
      <alignment horizontal="left" vertical="center" wrapText="1"/>
    </xf>
    <xf numFmtId="0" fontId="7" fillId="19" borderId="0"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33" borderId="0" xfId="0" applyFont="1" applyFill="1" applyBorder="1" applyAlignment="1">
      <alignment horizontal="left" vertical="center" wrapText="1"/>
    </xf>
    <xf numFmtId="0" fontId="23" fillId="0" borderId="0" xfId="0" applyFont="1" applyBorder="1" applyAlignment="1">
      <alignment wrapText="1"/>
    </xf>
    <xf numFmtId="0" fontId="15" fillId="32" borderId="2" xfId="0" applyFont="1" applyFill="1" applyAlignment="1" applyProtection="1">
      <alignment horizontal="center" vertical="center" wrapText="1"/>
      <protection locked="0"/>
    </xf>
    <xf numFmtId="0" fontId="21" fillId="0" borderId="0" xfId="0" applyFont="1" applyBorder="1" applyProtection="1">
      <protection hidden="1"/>
    </xf>
    <xf numFmtId="170" fontId="10" fillId="4" borderId="0" xfId="0" applyNumberFormat="1" applyFont="1" applyFill="1" applyBorder="1" applyAlignment="1" applyProtection="1">
      <alignment horizontal="left" vertical="center" wrapText="1"/>
      <protection locked="0"/>
    </xf>
    <xf numFmtId="2" fontId="7" fillId="4" borderId="0" xfId="0" applyNumberFormat="1" applyFont="1" applyFill="1" applyBorder="1" applyAlignment="1" applyProtection="1">
      <alignment horizontal="left" vertical="center" wrapText="1"/>
      <protection locked="0"/>
    </xf>
    <xf numFmtId="0" fontId="5" fillId="18" borderId="0" xfId="0" applyFont="1" applyFill="1" applyBorder="1" applyAlignment="1" applyProtection="1">
      <alignment horizontal="left" vertical="center" wrapText="1"/>
      <protection hidden="1"/>
    </xf>
    <xf numFmtId="0" fontId="6" fillId="30" borderId="0" xfId="0" applyFont="1" applyFill="1" applyBorder="1" applyAlignment="1" applyProtection="1">
      <alignment horizontal="left" vertical="center" wrapText="1"/>
      <protection locked="0"/>
    </xf>
    <xf numFmtId="0" fontId="17" fillId="37" borderId="0" xfId="0" applyFont="1" applyFill="1" applyBorder="1" applyAlignment="1" applyProtection="1">
      <alignment horizontal="left" vertical="center" wrapText="1"/>
      <protection locked="0"/>
    </xf>
    <xf numFmtId="0" fontId="4" fillId="34" borderId="0" xfId="0" applyFont="1" applyFill="1" applyBorder="1" applyAlignment="1" applyProtection="1">
      <alignment horizontal="left" vertical="center" wrapText="1"/>
      <protection locked="0"/>
    </xf>
    <xf numFmtId="0" fontId="4" fillId="4" borderId="0" xfId="0" applyFont="1" applyFill="1" applyBorder="1" applyAlignment="1" applyProtection="1">
      <alignment horizontal="left" vertical="center" wrapText="1"/>
      <protection locked="0"/>
    </xf>
    <xf numFmtId="0" fontId="5" fillId="33" borderId="0" xfId="0" applyFont="1" applyFill="1" applyBorder="1" applyAlignment="1" applyProtection="1">
      <alignment horizontal="left" vertical="center" wrapText="1"/>
      <protection hidden="1"/>
    </xf>
    <xf numFmtId="0" fontId="4" fillId="0" borderId="0" xfId="0" applyFont="1" applyBorder="1" applyAlignment="1" applyProtection="1">
      <alignment vertical="center" wrapText="1"/>
      <protection hidden="1"/>
    </xf>
    <xf numFmtId="0" fontId="7" fillId="4" borderId="0" xfId="0" applyFont="1" applyFill="1" applyBorder="1" applyAlignment="1" applyProtection="1">
      <alignment horizontal="left" vertical="center" wrapText="1"/>
      <protection locked="0"/>
    </xf>
    <xf numFmtId="2" fontId="4" fillId="4" borderId="0" xfId="0" applyNumberFormat="1" applyFont="1" applyFill="1" applyBorder="1" applyAlignment="1" applyProtection="1">
      <alignment horizontal="left" vertical="center" wrapText="1"/>
      <protection locked="0"/>
    </xf>
    <xf numFmtId="1" fontId="4" fillId="4" borderId="0" xfId="0" applyNumberFormat="1" applyFont="1" applyFill="1" applyBorder="1" applyAlignment="1" applyProtection="1">
      <alignment horizontal="left" vertical="center" wrapText="1"/>
      <protection locked="0"/>
    </xf>
    <xf numFmtId="169" fontId="4" fillId="4" borderId="0" xfId="0" applyNumberFormat="1" applyFont="1" applyFill="1" applyBorder="1" applyAlignment="1" applyProtection="1">
      <alignment horizontal="left" vertical="center" wrapText="1"/>
      <protection locked="0"/>
    </xf>
    <xf numFmtId="2" fontId="7" fillId="42" borderId="0" xfId="0" applyNumberFormat="1" applyFont="1" applyFill="1" applyBorder="1" applyAlignment="1" applyProtection="1">
      <alignment horizontal="left" vertical="center" wrapText="1"/>
      <protection hidden="1"/>
    </xf>
    <xf numFmtId="171" fontId="7" fillId="4" borderId="0" xfId="0" applyNumberFormat="1" applyFont="1" applyFill="1" applyBorder="1" applyAlignment="1" applyProtection="1">
      <alignment horizontal="left" vertical="center" wrapText="1"/>
      <protection locked="0"/>
    </xf>
    <xf numFmtId="169" fontId="7" fillId="2" borderId="0" xfId="0" applyNumberFormat="1" applyFont="1" applyFill="1" applyBorder="1" applyAlignment="1" applyProtection="1">
      <alignment vertical="center" wrapText="1"/>
      <protection hidden="1"/>
    </xf>
    <xf numFmtId="169" fontId="7" fillId="2" borderId="0" xfId="0" applyNumberFormat="1" applyFont="1" applyFill="1" applyBorder="1" applyAlignment="1" applyProtection="1">
      <alignment horizontal="center" vertical="center" wrapText="1"/>
      <protection hidden="1"/>
    </xf>
    <xf numFmtId="166" fontId="7" fillId="19" borderId="0" xfId="0" applyNumberFormat="1" applyFont="1" applyFill="1" applyBorder="1" applyAlignment="1" applyProtection="1">
      <alignment horizontal="left" wrapText="1"/>
      <protection hidden="1"/>
    </xf>
    <xf numFmtId="167" fontId="9" fillId="19" borderId="0" xfId="0" applyNumberFormat="1" applyFont="1" applyFill="1" applyBorder="1" applyAlignment="1" applyProtection="1">
      <alignment wrapText="1"/>
      <protection hidden="1"/>
    </xf>
    <xf numFmtId="164" fontId="9" fillId="19" borderId="0" xfId="0" applyNumberFormat="1" applyFont="1" applyFill="1" applyBorder="1" applyAlignment="1" applyProtection="1">
      <alignment wrapText="1"/>
      <protection hidden="1"/>
    </xf>
    <xf numFmtId="0" fontId="9" fillId="19" borderId="0" xfId="0" applyFont="1" applyFill="1" applyBorder="1" applyAlignment="1" applyProtection="1">
      <alignment wrapText="1"/>
      <protection hidden="1"/>
    </xf>
    <xf numFmtId="0" fontId="7" fillId="19" borderId="0" xfId="0" applyFont="1" applyFill="1" applyBorder="1" applyAlignment="1" applyProtection="1">
      <alignment wrapText="1"/>
      <protection hidden="1"/>
    </xf>
    <xf numFmtId="0" fontId="7" fillId="18" borderId="0" xfId="0" applyFont="1" applyFill="1" applyBorder="1" applyAlignment="1" applyProtection="1">
      <alignment horizontal="left" wrapText="1"/>
      <protection hidden="1"/>
    </xf>
    <xf numFmtId="168" fontId="9" fillId="19" borderId="0" xfId="0" applyNumberFormat="1" applyFont="1" applyFill="1" applyBorder="1" applyAlignment="1" applyProtection="1">
      <alignment wrapText="1"/>
      <protection hidden="1"/>
    </xf>
    <xf numFmtId="169" fontId="9" fillId="19" borderId="0" xfId="0" applyNumberFormat="1" applyFont="1" applyFill="1" applyBorder="1" applyAlignment="1" applyProtection="1">
      <alignment wrapText="1"/>
      <protection hidden="1"/>
    </xf>
    <xf numFmtId="0" fontId="4" fillId="2" borderId="0" xfId="0" applyFont="1" applyFill="1" applyBorder="1" applyAlignment="1" applyProtection="1">
      <alignment wrapText="1"/>
      <protection hidden="1"/>
    </xf>
    <xf numFmtId="170" fontId="4" fillId="2" borderId="0" xfId="0" applyNumberFormat="1" applyFont="1" applyFill="1" applyBorder="1" applyAlignment="1" applyProtection="1">
      <alignment horizontal="center" wrapText="1"/>
      <protection hidden="1"/>
    </xf>
    <xf numFmtId="0" fontId="4" fillId="2" borderId="0" xfId="0" applyFont="1" applyFill="1" applyBorder="1" applyAlignment="1" applyProtection="1">
      <alignment horizontal="left" wrapText="1"/>
      <protection hidden="1"/>
    </xf>
    <xf numFmtId="0" fontId="4" fillId="2" borderId="0" xfId="0" applyFont="1" applyFill="1" applyBorder="1" applyAlignment="1" applyProtection="1">
      <alignment horizontal="center" wrapText="1"/>
      <protection hidden="1"/>
    </xf>
    <xf numFmtId="0" fontId="3" fillId="13" borderId="0" xfId="0" applyFont="1" applyFill="1" applyBorder="1" applyAlignment="1" applyProtection="1">
      <alignment wrapText="1"/>
      <protection hidden="1"/>
    </xf>
    <xf numFmtId="171" fontId="0" fillId="0" borderId="0" xfId="0" applyNumberFormat="1" applyBorder="1" applyAlignment="1" applyProtection="1">
      <alignment wrapText="1"/>
      <protection hidden="1"/>
    </xf>
    <xf numFmtId="165" fontId="0" fillId="0" borderId="0" xfId="0" applyNumberFormat="1" applyBorder="1" applyAlignment="1" applyProtection="1">
      <alignment wrapText="1"/>
      <protection hidden="1"/>
    </xf>
    <xf numFmtId="0" fontId="0" fillId="0" borderId="0" xfId="0" applyBorder="1" applyAlignment="1" applyProtection="1">
      <alignment wrapText="1"/>
      <protection hidden="1"/>
    </xf>
    <xf numFmtId="0" fontId="0" fillId="0" borderId="0" xfId="0" applyBorder="1" applyProtection="1">
      <protection hidden="1"/>
    </xf>
    <xf numFmtId="1" fontId="0" fillId="0" borderId="0" xfId="0" applyNumberFormat="1" applyBorder="1" applyAlignment="1" applyProtection="1">
      <alignment wrapText="1"/>
      <protection hidden="1"/>
    </xf>
    <xf numFmtId="2" fontId="0" fillId="0" borderId="0" xfId="0" applyNumberFormat="1" applyBorder="1" applyAlignment="1" applyProtection="1">
      <alignment wrapText="1"/>
      <protection hidden="1"/>
    </xf>
    <xf numFmtId="9" fontId="0" fillId="0" borderId="0" xfId="0" applyNumberFormat="1" applyBorder="1" applyAlignment="1" applyProtection="1">
      <alignment wrapText="1"/>
      <protection hidden="1"/>
    </xf>
    <xf numFmtId="164" fontId="0" fillId="0" borderId="0" xfId="0" applyNumberFormat="1" applyBorder="1" applyAlignment="1" applyProtection="1">
      <alignment wrapText="1"/>
      <protection hidden="1"/>
    </xf>
    <xf numFmtId="170" fontId="0" fillId="0" borderId="0" xfId="0" applyNumberFormat="1" applyBorder="1" applyProtection="1">
      <protection hidden="1"/>
    </xf>
    <xf numFmtId="0" fontId="4" fillId="18" borderId="0" xfId="0" applyFont="1" applyFill="1" applyBorder="1" applyAlignment="1" applyProtection="1">
      <alignment wrapText="1"/>
      <protection hidden="1"/>
    </xf>
    <xf numFmtId="172" fontId="0" fillId="0" borderId="0" xfId="0" applyNumberFormat="1" applyBorder="1" applyAlignment="1" applyProtection="1">
      <alignment wrapText="1"/>
      <protection hidden="1"/>
    </xf>
    <xf numFmtId="0" fontId="0" fillId="0" borderId="2" xfId="0" applyAlignment="1" applyProtection="1">
      <alignment horizontal="left" wrapText="1"/>
      <protection hidden="1"/>
    </xf>
    <xf numFmtId="0" fontId="0" fillId="0" borderId="0" xfId="0" applyBorder="1" applyProtection="1">
      <protection hidden="1"/>
    </xf>
    <xf numFmtId="0" fontId="0" fillId="0" borderId="2" xfId="0" applyAlignment="1">
      <alignment horizontal="left" wrapText="1"/>
    </xf>
    <xf numFmtId="0" fontId="0" fillId="0" borderId="0" xfId="0" applyBorder="1"/>
    <xf numFmtId="0" fontId="0" fillId="0" borderId="2" xfId="0" applyAlignment="1">
      <alignment wrapText="1"/>
    </xf>
    <xf numFmtId="0" fontId="3" fillId="13" borderId="2" xfId="0" applyFont="1" applyFill="1" applyAlignment="1">
      <alignment horizontal="center"/>
    </xf>
    <xf numFmtId="0" fontId="3" fillId="33" borderId="2" xfId="0" applyFont="1" applyFill="1" applyAlignment="1">
      <alignment horizontal="center"/>
    </xf>
    <xf numFmtId="0" fontId="4" fillId="14" borderId="2" xfId="0" applyFont="1" applyFill="1" applyAlignment="1" applyProtection="1">
      <alignment horizontal="center" wrapText="1"/>
      <protection hidden="1"/>
    </xf>
    <xf numFmtId="0" fontId="0" fillId="16" borderId="2" xfId="0" applyFill="1" applyAlignment="1">
      <alignment horizontal="left" wrapText="1"/>
    </xf>
    <xf numFmtId="0" fontId="7" fillId="18" borderId="2" xfId="0" applyFont="1" applyFill="1" applyAlignment="1">
      <alignment vertical="center" wrapText="1"/>
    </xf>
    <xf numFmtId="0" fontId="0" fillId="0" borderId="0" xfId="0" applyBorder="1" applyAlignment="1">
      <alignment horizontal="left"/>
    </xf>
    <xf numFmtId="0" fontId="7" fillId="33" borderId="2" xfId="0" applyFont="1" applyFill="1" applyAlignment="1" applyProtection="1">
      <alignment horizontal="left" vertical="center" wrapText="1"/>
      <protection hidden="1"/>
    </xf>
    <xf numFmtId="0" fontId="7" fillId="18" borderId="2" xfId="0" applyFont="1" applyFill="1" applyAlignment="1">
      <alignment horizontal="left" vertical="center" wrapText="1"/>
    </xf>
    <xf numFmtId="0" fontId="7" fillId="39" borderId="2" xfId="0" applyFont="1" applyFill="1" applyAlignment="1" applyProtection="1">
      <alignment horizontal="left" vertical="center" wrapText="1"/>
      <protection hidden="1"/>
    </xf>
    <xf numFmtId="2" fontId="7" fillId="33" borderId="2" xfId="0" applyNumberFormat="1" applyFont="1" applyFill="1" applyAlignment="1" applyProtection="1">
      <alignment horizontal="left" vertical="center" wrapText="1"/>
      <protection hidden="1"/>
    </xf>
    <xf numFmtId="0" fontId="7" fillId="35" borderId="2" xfId="0" applyFont="1" applyFill="1" applyAlignment="1">
      <alignment vertical="center" wrapText="1"/>
    </xf>
    <xf numFmtId="174" fontId="7" fillId="33" borderId="2" xfId="0" applyNumberFormat="1" applyFont="1" applyFill="1" applyAlignment="1" applyProtection="1">
      <alignment horizontal="left" vertical="center" wrapText="1"/>
      <protection hidden="1"/>
    </xf>
    <xf numFmtId="0" fontId="7" fillId="18" borderId="2" xfId="0" applyFont="1" applyFill="1" applyAlignment="1">
      <alignment horizontal="left" wrapText="1"/>
    </xf>
    <xf numFmtId="173" fontId="9" fillId="19" borderId="2" xfId="0" applyNumberFormat="1" applyFont="1" applyFill="1" applyAlignment="1" applyProtection="1">
      <alignment horizontal="left" vertical="center" wrapText="1"/>
      <protection hidden="1"/>
    </xf>
    <xf numFmtId="165" fontId="9" fillId="19" borderId="2" xfId="0" applyNumberFormat="1" applyFont="1" applyFill="1" applyAlignment="1" applyProtection="1">
      <alignment horizontal="left" vertical="center" wrapText="1"/>
      <protection hidden="1"/>
    </xf>
    <xf numFmtId="169" fontId="9" fillId="19" borderId="2" xfId="0" applyNumberFormat="1" applyFont="1" applyFill="1" applyAlignment="1" applyProtection="1">
      <alignment horizontal="left" vertical="center" wrapText="1"/>
      <protection hidden="1"/>
    </xf>
    <xf numFmtId="0" fontId="7" fillId="39" borderId="2" xfId="0" applyFont="1" applyFill="1" applyAlignment="1" applyProtection="1">
      <alignment horizontal="center" vertical="center" wrapText="1"/>
      <protection hidden="1"/>
    </xf>
    <xf numFmtId="0" fontId="9" fillId="19" borderId="2" xfId="0" applyFont="1" applyFill="1" applyAlignment="1" applyProtection="1">
      <alignment horizontal="left" vertical="center" wrapText="1"/>
      <protection hidden="1"/>
    </xf>
    <xf numFmtId="173" fontId="9" fillId="33" borderId="2" xfId="0" applyNumberFormat="1" applyFont="1" applyFill="1" applyAlignment="1" applyProtection="1">
      <alignment horizontal="left" vertical="center" wrapText="1"/>
      <protection hidden="1"/>
    </xf>
    <xf numFmtId="0" fontId="15" fillId="32" borderId="2" xfId="0" applyFont="1" applyFill="1" applyAlignment="1" applyProtection="1">
      <alignment horizontal="center" vertical="center" wrapText="1"/>
      <protection locked="0"/>
    </xf>
    <xf numFmtId="0" fontId="0" fillId="0" borderId="0" xfId="0" applyBorder="1" applyProtection="1">
      <protection locked="0"/>
    </xf>
    <xf numFmtId="0" fontId="7" fillId="19" borderId="2" xfId="0" applyFont="1" applyFill="1" applyAlignment="1" applyProtection="1">
      <alignment horizontal="left" vertical="center" wrapText="1"/>
      <protection hidden="1"/>
    </xf>
    <xf numFmtId="0" fontId="7" fillId="2" borderId="2" xfId="0" applyFont="1" applyFill="1" applyAlignment="1">
      <alignment horizontal="left" vertical="center" wrapText="1"/>
    </xf>
    <xf numFmtId="0" fontId="11" fillId="19" borderId="2" xfId="0" applyFont="1" applyFill="1" applyAlignment="1" applyProtection="1">
      <alignment horizontal="center" vertical="center" wrapText="1"/>
      <protection hidden="1"/>
    </xf>
    <xf numFmtId="0" fontId="3" fillId="3" borderId="2" xfId="0" applyFont="1" applyFill="1" applyAlignment="1" applyProtection="1">
      <alignment horizontal="center" vertical="center" wrapText="1"/>
      <protection hidden="1"/>
    </xf>
    <xf numFmtId="0" fontId="22" fillId="4" borderId="2" xfId="0" applyFont="1" applyFill="1" applyAlignment="1" applyProtection="1">
      <alignment horizontal="center" vertical="center" wrapText="1"/>
      <protection hidden="1"/>
    </xf>
    <xf numFmtId="171" fontId="9" fillId="19" borderId="2" xfId="0" applyNumberFormat="1" applyFont="1" applyFill="1" applyAlignment="1" applyProtection="1">
      <alignment horizontal="left" vertical="center" wrapText="1"/>
      <protection hidden="1"/>
    </xf>
    <xf numFmtId="174" fontId="9" fillId="19" borderId="2" xfId="0" applyNumberFormat="1" applyFont="1" applyFill="1" applyAlignment="1" applyProtection="1">
      <alignment horizontal="left" vertical="center" wrapText="1"/>
      <protection hidden="1"/>
    </xf>
    <xf numFmtId="0" fontId="18" fillId="38" borderId="2" xfId="0" applyFont="1" applyFill="1" applyAlignment="1">
      <alignment horizontal="center" vertical="center" wrapText="1"/>
    </xf>
    <xf numFmtId="0" fontId="3" fillId="3" borderId="2" xfId="0" applyFont="1" applyFill="1" applyAlignment="1">
      <alignment horizontal="center" vertical="center" wrapText="1"/>
    </xf>
    <xf numFmtId="0" fontId="12" fillId="19" borderId="2" xfId="0" applyFont="1" applyFill="1" applyAlignment="1" applyProtection="1">
      <alignment horizontal="center" vertical="center" wrapText="1"/>
      <protection hidden="1"/>
    </xf>
    <xf numFmtId="0" fontId="1" fillId="17" borderId="2" xfId="0" applyFont="1" applyFill="1" applyAlignment="1">
      <alignment horizontal="center" wrapText="1"/>
    </xf>
    <xf numFmtId="0" fontId="3" fillId="17" borderId="2" xfId="0" applyFont="1" applyFill="1" applyAlignment="1">
      <alignment horizontal="center" vertical="center" wrapText="1"/>
    </xf>
    <xf numFmtId="0" fontId="3" fillId="28" borderId="2" xfId="0" applyFont="1" applyFill="1" applyAlignment="1">
      <alignment horizontal="center"/>
    </xf>
    <xf numFmtId="0" fontId="19" fillId="40" borderId="2" xfId="0" applyFont="1" applyFill="1" applyAlignment="1">
      <alignment horizontal="center" vertical="center" wrapText="1"/>
    </xf>
    <xf numFmtId="0" fontId="3" fillId="41" borderId="2" xfId="0" applyFont="1" applyFill="1" applyAlignment="1">
      <alignment horizontal="left" vertical="center" wrapText="1"/>
    </xf>
  </cellXfs>
  <cellStyles count="1">
    <cellStyle name="Normal" xfId="0" builtinId="0"/>
  </cellStyles>
  <dxfs count="40">
    <dxf>
      <font>
        <b/>
      </font>
      <fill>
        <patternFill>
          <bgColor rgb="FFF4CCCC"/>
        </patternFill>
      </fill>
    </dxf>
    <dxf>
      <font>
        <b/>
      </font>
      <fill>
        <patternFill>
          <bgColor rgb="FFFFE699"/>
        </patternFill>
      </fill>
    </dxf>
    <dxf>
      <font>
        <b/>
      </font>
      <fill>
        <patternFill>
          <bgColor rgb="FFC6E0B4"/>
        </patternFill>
      </fill>
    </dxf>
    <dxf>
      <font>
        <b/>
        <color rgb="FF274E13"/>
      </font>
      <fill>
        <patternFill>
          <bgColor rgb="FFD9EAD3"/>
        </patternFill>
      </fill>
    </dxf>
    <dxf>
      <font>
        <b/>
        <color rgb="FF7F6000"/>
      </font>
      <fill>
        <patternFill>
          <bgColor rgb="FFFFF2CC"/>
        </patternFill>
      </fill>
    </dxf>
    <dxf>
      <font>
        <b/>
        <color rgb="FF9C6500"/>
      </font>
      <fill>
        <patternFill>
          <bgColor rgb="FFFCE5CD"/>
        </patternFill>
      </fill>
    </dxf>
    <dxf>
      <font>
        <b/>
        <color rgb="FF9C0006"/>
      </font>
      <fill>
        <patternFill>
          <bgColor rgb="FFF4CCCC"/>
        </patternFill>
      </fill>
    </dxf>
    <dxf>
      <font>
        <b/>
        <color rgb="FF595959"/>
      </font>
      <fill>
        <patternFill>
          <bgColor rgb="FFE7E6E6"/>
        </patternFill>
      </fill>
    </dxf>
    <dxf>
      <font>
        <b/>
        <color rgb="FF9C0006"/>
      </font>
      <fill>
        <patternFill>
          <bgColor rgb="FFF4CCCC"/>
        </patternFill>
      </fill>
    </dxf>
    <dxf>
      <font>
        <b/>
        <color rgb="FF9C0006"/>
      </font>
      <fill>
        <patternFill>
          <bgColor rgb="FFF4CCCC"/>
        </patternFill>
      </fill>
    </dxf>
    <dxf>
      <font>
        <b/>
        <color rgb="FF9C6500"/>
      </font>
      <fill>
        <patternFill>
          <bgColor rgb="FFFCE5CD"/>
        </patternFill>
      </fill>
    </dxf>
    <dxf>
      <font>
        <b/>
        <color rgb="FF274E13"/>
      </font>
      <fill>
        <patternFill>
          <bgColor rgb="FFD9EAD3"/>
        </patternFill>
      </fill>
    </dxf>
    <dxf>
      <fill>
        <patternFill>
          <bgColor rgb="FFEEEEEE"/>
        </patternFill>
      </fill>
    </dxf>
    <dxf>
      <fill>
        <patternFill>
          <bgColor rgb="FFD9EAD3"/>
        </patternFill>
      </fill>
    </dxf>
    <dxf>
      <fill>
        <patternFill>
          <bgColor rgb="FFFFF2CC"/>
        </patternFill>
      </fill>
    </dxf>
    <dxf>
      <fill>
        <patternFill>
          <bgColor rgb="FFFCE5CD"/>
        </patternFill>
      </fill>
    </dxf>
    <dxf>
      <fill>
        <patternFill>
          <bgColor rgb="FFF4CCCC"/>
        </patternFill>
      </fill>
    </dxf>
    <dxf>
      <font>
        <b/>
        <color rgb="FF006100"/>
      </font>
      <fill>
        <patternFill>
          <bgColor rgb="FFC6E0B4"/>
        </patternFill>
      </fill>
    </dxf>
    <dxf>
      <font>
        <b/>
        <color rgb="FF7F6000"/>
      </font>
      <fill>
        <patternFill>
          <bgColor rgb="FFFFF2CC"/>
        </patternFill>
      </fill>
    </dxf>
    <dxf>
      <font>
        <b/>
        <color rgb="FF9C6500"/>
      </font>
      <fill>
        <patternFill>
          <bgColor rgb="FFFFEB9C"/>
        </patternFill>
      </fill>
    </dxf>
    <dxf>
      <font>
        <b/>
        <color rgb="FF9C0006"/>
      </font>
      <fill>
        <patternFill>
          <bgColor rgb="FFFFC7CE"/>
        </patternFill>
      </fill>
    </dxf>
    <dxf>
      <font>
        <b/>
        <color rgb="FF595959"/>
      </font>
      <fill>
        <patternFill>
          <bgColor rgb="FFE7E6E6"/>
        </patternFill>
      </fill>
    </dxf>
    <dxf>
      <font>
        <b/>
        <color rgb="FF006100"/>
      </font>
      <fill>
        <patternFill>
          <bgColor rgb="FFC6E0B4"/>
        </patternFill>
      </fill>
    </dxf>
    <dxf>
      <font>
        <b/>
        <color rgb="FF7F6000"/>
      </font>
      <fill>
        <patternFill>
          <bgColor rgb="FFFFF2CC"/>
        </patternFill>
      </fill>
    </dxf>
    <dxf>
      <font>
        <b/>
        <color rgb="FF9C6500"/>
      </font>
      <fill>
        <patternFill>
          <bgColor rgb="FFFFEB9C"/>
        </patternFill>
      </fill>
    </dxf>
    <dxf>
      <font>
        <b/>
        <color rgb="FF9C0006"/>
      </font>
      <fill>
        <patternFill>
          <bgColor rgb="FFFFC7CE"/>
        </patternFill>
      </fill>
    </dxf>
    <dxf>
      <font>
        <b/>
        <color rgb="FF595959"/>
      </font>
      <fill>
        <patternFill>
          <bgColor rgb="FFE7E6E6"/>
        </patternFill>
      </fill>
    </dxf>
    <dxf>
      <font>
        <b/>
        <color rgb="FF006100"/>
      </font>
      <fill>
        <patternFill>
          <bgColor rgb="FFC6E0B4"/>
        </patternFill>
      </fill>
    </dxf>
    <dxf>
      <font>
        <b/>
        <color rgb="FF9C0006"/>
      </font>
      <fill>
        <patternFill>
          <bgColor rgb="FFFFC7CE"/>
        </patternFill>
      </fill>
    </dxf>
    <dxf>
      <font>
        <b/>
        <color rgb="FF9C0006"/>
      </font>
      <fill>
        <patternFill>
          <bgColor rgb="FFFFC7CE"/>
        </patternFill>
      </fill>
    </dxf>
    <dxf>
      <font>
        <b/>
        <color rgb="FF006100"/>
      </font>
      <fill>
        <patternFill>
          <bgColor rgb="FFC6E0B4"/>
        </patternFill>
      </fill>
    </dxf>
    <dxf>
      <font>
        <b/>
        <color rgb="FF9C0006"/>
      </font>
      <fill>
        <patternFill>
          <bgColor rgb="FFF4CCCC"/>
        </patternFill>
      </fill>
    </dxf>
    <dxf>
      <font>
        <b/>
        <color rgb="FF9C6500"/>
      </font>
      <fill>
        <patternFill>
          <bgColor rgb="FFFCE5CD"/>
        </patternFill>
      </fill>
    </dxf>
    <dxf>
      <font>
        <b/>
        <color rgb="FF274E13"/>
      </font>
      <fill>
        <patternFill>
          <bgColor rgb="FFD9EAD3"/>
        </patternFill>
      </fill>
    </dxf>
    <dxf>
      <font>
        <b/>
        <color rgb="FF595959"/>
      </font>
      <fill>
        <patternFill>
          <bgColor rgb="FFE7E6E6"/>
        </patternFill>
      </fill>
    </dxf>
    <dxf>
      <font>
        <b/>
        <color rgb="FF006100"/>
      </font>
      <fill>
        <patternFill>
          <bgColor rgb="FFC6E0B4"/>
        </patternFill>
      </fill>
    </dxf>
    <dxf>
      <font>
        <b/>
        <color rgb="FF7F6000"/>
      </font>
      <fill>
        <patternFill>
          <bgColor rgb="FFFFF2CC"/>
        </patternFill>
      </fill>
    </dxf>
    <dxf>
      <font>
        <b/>
        <color rgb="FF9C6500"/>
      </font>
      <fill>
        <patternFill>
          <bgColor rgb="FFFFEB9C"/>
        </patternFill>
      </fill>
    </dxf>
    <dxf>
      <font>
        <b/>
        <color rgb="FF9C0006"/>
      </font>
      <fill>
        <patternFill>
          <bgColor rgb="FFFFC7CE"/>
        </patternFill>
      </fill>
    </dxf>
    <dxf>
      <fill>
        <patternFill>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Estimated remaining life (years)</c:v>
          </c:tx>
          <c:spPr>
            <a:ln>
              <a:prstDash val="solid"/>
            </a:ln>
          </c:spPr>
          <c:marker>
            <c:symbol val="none"/>
          </c:marker>
          <c:cat>
            <c:numRef>
              <c:f>'Failure Curve'!$A$6:$A$16</c:f>
              <c:numCache>
                <c:formatCode>0.0</c:formatCode>
                <c:ptCount val="11"/>
                <c:pt idx="0">
                  <c:v>10</c:v>
                </c:pt>
                <c:pt idx="1">
                  <c:v>20</c:v>
                </c:pt>
                <c:pt idx="2">
                  <c:v>30</c:v>
                </c:pt>
                <c:pt idx="3">
                  <c:v>40</c:v>
                </c:pt>
                <c:pt idx="4">
                  <c:v>50</c:v>
                </c:pt>
                <c:pt idx="5">
                  <c:v>60</c:v>
                </c:pt>
                <c:pt idx="6">
                  <c:v>70</c:v>
                </c:pt>
                <c:pt idx="7">
                  <c:v>80</c:v>
                </c:pt>
                <c:pt idx="8">
                  <c:v>90</c:v>
                </c:pt>
                <c:pt idx="9">
                  <c:v>100</c:v>
                </c:pt>
                <c:pt idx="10">
                  <c:v>110</c:v>
                </c:pt>
              </c:numCache>
            </c:numRef>
          </c:cat>
          <c:val>
            <c:numRef>
              <c:f>'Failure Curve'!$D$6:$D$16</c:f>
              <c:numCache>
                <c:formatCode>0.0</c:formatCode>
                <c:ptCount val="11"/>
                <c:pt idx="0">
                  <c:v>29.417340873785939</c:v>
                </c:pt>
                <c:pt idx="1">
                  <c:v>27.353130745782881</c:v>
                </c:pt>
                <c:pt idx="2">
                  <c:v>25.43376591398901</c:v>
                </c:pt>
                <c:pt idx="3">
                  <c:v>23.649082607018229</c:v>
                </c:pt>
                <c:pt idx="4">
                  <c:v>21.884332934248899</c:v>
                </c:pt>
                <c:pt idx="5">
                  <c:v>19.866157493862691</c:v>
                </c:pt>
                <c:pt idx="6">
                  <c:v>18.034098400747173</c:v>
                </c:pt>
                <c:pt idx="7">
                  <c:v>16.370991986160664</c:v>
                </c:pt>
                <c:pt idx="8">
                  <c:v>14.861257416663134</c:v>
                </c:pt>
                <c:pt idx="9">
                  <c:v>13.490750724881428</c:v>
                </c:pt>
                <c:pt idx="10">
                  <c:v>12.246632301572371</c:v>
                </c:pt>
              </c:numCache>
            </c:numRef>
          </c:val>
          <c:smooth val="1"/>
          <c:extLst>
            <c:ext xmlns:c16="http://schemas.microsoft.com/office/drawing/2014/chart" uri="{C3380CC4-5D6E-409C-BE32-E72D297353CC}">
              <c16:uniqueId val="{00000000-C4F7-4DC2-95BB-7B7F423FADE7}"/>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majorGridlines>
          <c:spPr>
            <a:ln w="9525">
              <a:solidFill>
                <a:srgbClr val="CCCCCC"/>
              </a:solidFill>
              <a:prstDash val="dash"/>
            </a:ln>
          </c:spPr>
        </c:majorGridlines>
        <c:title>
          <c:tx>
            <c:rich>
              <a:bodyPr/>
              <a:lstStyle/>
              <a:p>
                <a:r>
                  <a:rPr lang="en-GB" sz="825" b="1"/>
                  <a:t>OPERATING PRESSURE (units shown above)</a:t>
                </a:r>
              </a:p>
            </c:rich>
          </c:tx>
          <c:layout>
            <c:manualLayout>
              <c:xMode val="edge"/>
              <c:yMode val="edge"/>
              <c:x val="0.37656332104234852"/>
              <c:y val="0.75672556180433137"/>
            </c:manualLayout>
          </c:layout>
          <c:overlay val="1"/>
        </c:title>
        <c:numFmt formatCode="0" sourceLinked="0"/>
        <c:majorTickMark val="none"/>
        <c:minorTickMark val="none"/>
        <c:tickLblPos val="nextTo"/>
        <c:txPr>
          <a:bodyPr anchorCtr="1"/>
          <a:lstStyle/>
          <a:p>
            <a:pPr>
              <a:defRPr sz="750"/>
            </a:pPr>
            <a:endParaRPr lang="en-US"/>
          </a:p>
        </c:txPr>
        <c:crossAx val="48672768"/>
        <c:crosses val="autoZero"/>
        <c:auto val="1"/>
        <c:lblAlgn val="ctr"/>
        <c:lblOffset val="100"/>
        <c:tickLblSkip val="1"/>
        <c:noMultiLvlLbl val="1"/>
      </c:catAx>
      <c:valAx>
        <c:axId val="48672768"/>
        <c:scaling>
          <c:orientation val="minMax"/>
        </c:scaling>
        <c:delete val="0"/>
        <c:axPos val="l"/>
        <c:majorGridlines>
          <c:spPr>
            <a:ln w="9525">
              <a:solidFill>
                <a:srgbClr val="CCCCCC"/>
              </a:solidFill>
              <a:prstDash val="dash"/>
            </a:ln>
          </c:spPr>
        </c:majorGridlines>
        <c:title>
          <c:tx>
            <c:rich>
              <a:bodyPr/>
              <a:lstStyle/>
              <a:p>
                <a:r>
                  <a:rPr lang="en-GB" sz="825" b="1"/>
                  <a:t>ESTIMATED REMAINING LIFE (years)</a:t>
                </a:r>
              </a:p>
            </c:rich>
          </c:tx>
          <c:layout>
            <c:manualLayout>
              <c:xMode val="edge"/>
              <c:yMode val="edge"/>
              <c:x val="8.1249999999999989E-2"/>
              <c:y val="0.239237162340145"/>
            </c:manualLayout>
          </c:layout>
          <c:overlay val="1"/>
        </c:title>
        <c:numFmt formatCode="0.0" sourceLinked="0"/>
        <c:majorTickMark val="none"/>
        <c:minorTickMark val="none"/>
        <c:tickLblPos val="nextTo"/>
        <c:txPr>
          <a:bodyPr anchorCtr="1"/>
          <a:lstStyle/>
          <a:p>
            <a:pPr>
              <a:defRPr sz="750"/>
            </a:pPr>
            <a:endParaRPr lang="en-US"/>
          </a:p>
        </c:txPr>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Relative failure risk index (0–100)</c:v>
          </c:tx>
          <c:spPr>
            <a:ln>
              <a:prstDash val="solid"/>
            </a:ln>
          </c:spPr>
          <c:marker>
            <c:symbol val="none"/>
          </c:marker>
          <c:cat>
            <c:numRef>
              <c:f>'Failure Curve'!$A$6:$A$16</c:f>
              <c:numCache>
                <c:formatCode>0.0</c:formatCode>
                <c:ptCount val="11"/>
                <c:pt idx="0">
                  <c:v>10</c:v>
                </c:pt>
                <c:pt idx="1">
                  <c:v>20</c:v>
                </c:pt>
                <c:pt idx="2">
                  <c:v>30</c:v>
                </c:pt>
                <c:pt idx="3">
                  <c:v>40</c:v>
                </c:pt>
                <c:pt idx="4">
                  <c:v>50</c:v>
                </c:pt>
                <c:pt idx="5">
                  <c:v>60</c:v>
                </c:pt>
                <c:pt idx="6">
                  <c:v>70</c:v>
                </c:pt>
                <c:pt idx="7">
                  <c:v>80</c:v>
                </c:pt>
                <c:pt idx="8">
                  <c:v>90</c:v>
                </c:pt>
                <c:pt idx="9">
                  <c:v>100</c:v>
                </c:pt>
                <c:pt idx="10">
                  <c:v>110</c:v>
                </c:pt>
              </c:numCache>
            </c:numRef>
          </c:cat>
          <c:val>
            <c:numRef>
              <c:f>'Failure Curve'!$E$6:$E$16</c:f>
              <c:numCache>
                <c:formatCode>0.0</c:formatCode>
                <c:ptCount val="11"/>
                <c:pt idx="0">
                  <c:v>36.938290009184463</c:v>
                </c:pt>
                <c:pt idx="1">
                  <c:v>40.359540439617078</c:v>
                </c:pt>
                <c:pt idx="2">
                  <c:v>43.676649981675332</c:v>
                </c:pt>
                <c:pt idx="3">
                  <c:v>46.878519415126</c:v>
                </c:pt>
                <c:pt idx="4">
                  <c:v>50.15598378381717</c:v>
                </c:pt>
                <c:pt idx="5">
                  <c:v>54.039832702072069</c:v>
                </c:pt>
                <c:pt idx="6">
                  <c:v>57.690914578057885</c:v>
                </c:pt>
                <c:pt idx="7">
                  <c:v>61.108632545543784</c:v>
                </c:pt>
                <c:pt idx="8">
                  <c:v>64.296326391197411</c:v>
                </c:pt>
                <c:pt idx="9">
                  <c:v>67.260226602465337</c:v>
                </c:pt>
                <c:pt idx="10">
                  <c:v>70.008625022116618</c:v>
                </c:pt>
              </c:numCache>
            </c:numRef>
          </c:val>
          <c:smooth val="1"/>
          <c:extLst>
            <c:ext xmlns:c16="http://schemas.microsoft.com/office/drawing/2014/chart" uri="{C3380CC4-5D6E-409C-BE32-E72D297353CC}">
              <c16:uniqueId val="{00000000-7F30-4112-BE51-9483F6EA6403}"/>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majorGridlines>
          <c:spPr>
            <a:ln w="9525">
              <a:solidFill>
                <a:srgbClr val="CCCCCC"/>
              </a:solidFill>
              <a:prstDash val="dash"/>
            </a:ln>
          </c:spPr>
        </c:majorGridlines>
        <c:title>
          <c:tx>
            <c:rich>
              <a:bodyPr/>
              <a:lstStyle/>
              <a:p>
                <a:r>
                  <a:rPr lang="en-GB" sz="825" b="1"/>
                  <a:t>OPERATING PRESSURE (units shown above)</a:t>
                </a:r>
              </a:p>
            </c:rich>
          </c:tx>
          <c:layout>
            <c:manualLayout>
              <c:xMode val="edge"/>
              <c:yMode val="edge"/>
              <c:x val="0.37931512467191603"/>
              <c:y val="0.79457188991877326"/>
            </c:manualLayout>
          </c:layout>
          <c:overlay val="1"/>
        </c:title>
        <c:numFmt formatCode="0" sourceLinked="0"/>
        <c:majorTickMark val="none"/>
        <c:minorTickMark val="none"/>
        <c:tickLblPos val="nextTo"/>
        <c:txPr>
          <a:bodyPr anchorCtr="1"/>
          <a:lstStyle/>
          <a:p>
            <a:pPr>
              <a:defRPr sz="750"/>
            </a:pPr>
            <a:endParaRPr lang="en-US"/>
          </a:p>
        </c:txPr>
        <c:crossAx val="48672768"/>
        <c:crosses val="autoZero"/>
        <c:auto val="1"/>
        <c:lblAlgn val="ctr"/>
        <c:lblOffset val="100"/>
        <c:tickLblSkip val="1"/>
        <c:noMultiLvlLbl val="1"/>
      </c:catAx>
      <c:valAx>
        <c:axId val="48672768"/>
        <c:scaling>
          <c:orientation val="minMax"/>
        </c:scaling>
        <c:delete val="0"/>
        <c:axPos val="l"/>
        <c:majorGridlines>
          <c:spPr>
            <a:ln w="9525">
              <a:solidFill>
                <a:srgbClr val="CCCCCC"/>
              </a:solidFill>
              <a:prstDash val="dash"/>
            </a:ln>
          </c:spPr>
        </c:majorGridlines>
        <c:title>
          <c:tx>
            <c:rich>
              <a:bodyPr/>
              <a:lstStyle/>
              <a:p>
                <a:r>
                  <a:rPr lang="en-GB" sz="825" b="1"/>
                  <a:t>RELATIVE FAILURE RISK INDEX (0–100)</a:t>
                </a:r>
              </a:p>
            </c:rich>
          </c:tx>
          <c:layout>
            <c:manualLayout>
              <c:xMode val="edge"/>
              <c:yMode val="edge"/>
              <c:x val="6.6666666666666666E-2"/>
              <c:y val="0.18728598002922819"/>
            </c:manualLayout>
          </c:layout>
          <c:overlay val="1"/>
        </c:title>
        <c:numFmt formatCode="0.0" sourceLinked="0"/>
        <c:majorTickMark val="none"/>
        <c:minorTickMark val="none"/>
        <c:tickLblPos val="nextTo"/>
        <c:txPr>
          <a:bodyPr anchorCtr="1"/>
          <a:lstStyle/>
          <a:p>
            <a:pPr>
              <a:defRPr sz="750"/>
            </a:pPr>
            <a:endParaRPr lang="en-US"/>
          </a:p>
        </c:txPr>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0</xdr:colOff>
      <xdr:row>5</xdr:row>
      <xdr:rowOff>0</xdr:rowOff>
    </xdr:from>
    <xdr:to>
      <xdr:col>16</xdr:col>
      <xdr:colOff>0</xdr:colOff>
      <xdr:row>23</xdr:row>
      <xdr:rowOff>76200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673100</xdr:colOff>
      <xdr:row>26</xdr:row>
      <xdr:rowOff>16933</xdr:rowOff>
    </xdr:from>
    <xdr:to>
      <xdr:col>15</xdr:col>
      <xdr:colOff>673101</xdr:colOff>
      <xdr:row>50</xdr:row>
      <xdr:rowOff>21166</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0</xdr:col>
      <xdr:colOff>113240</xdr:colOff>
      <xdr:row>3</xdr:row>
      <xdr:rowOff>117728</xdr:rowOff>
    </xdr:from>
    <xdr:ext cx="1076325" cy="301371"/>
    <xdr:pic>
      <xdr:nvPicPr>
        <xdr:cNvPr id="2" name="/xl/media/image.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70"/>
  <sheetViews>
    <sheetView topLeftCell="A23" zoomScale="93" zoomScaleNormal="93" workbookViewId="0">
      <selection activeCell="B8" sqref="B8"/>
    </sheetView>
  </sheetViews>
  <sheetFormatPr defaultRowHeight="14.25"/>
  <cols>
    <col min="1" max="1" width="38.75" customWidth="1"/>
    <col min="2" max="2" width="32.25" style="63" customWidth="1"/>
    <col min="3" max="3" width="73.5" style="63" customWidth="1"/>
    <col min="4" max="4" width="44.625" customWidth="1"/>
    <col min="5" max="7" width="16" customWidth="1"/>
    <col min="8" max="8" width="0" hidden="1"/>
    <col min="24" max="26" width="2.5" customWidth="1"/>
  </cols>
  <sheetData>
    <row r="1" spans="1:26" ht="37.700000000000003" customHeight="1">
      <c r="A1" s="150" t="s">
        <v>0</v>
      </c>
      <c r="B1" s="127"/>
      <c r="C1" s="127"/>
      <c r="D1" s="120"/>
      <c r="E1" s="120"/>
      <c r="F1" s="120"/>
      <c r="G1" s="120"/>
      <c r="H1" s="68"/>
      <c r="I1" s="1"/>
      <c r="J1" s="1"/>
      <c r="K1" s="1"/>
      <c r="L1" s="1"/>
      <c r="M1" s="1"/>
      <c r="N1" s="1"/>
      <c r="O1" s="1"/>
      <c r="P1" s="1"/>
      <c r="Q1" s="1"/>
      <c r="X1" s="66" t="s">
        <v>1</v>
      </c>
      <c r="Y1" s="66" t="s">
        <v>2</v>
      </c>
      <c r="Z1" s="66" t="s">
        <v>3</v>
      </c>
    </row>
    <row r="2" spans="1:26" ht="107.65" customHeight="1">
      <c r="A2" s="36" t="s">
        <v>4</v>
      </c>
      <c r="B2" s="74" t="s">
        <v>3466</v>
      </c>
      <c r="C2" s="37" t="s">
        <v>6</v>
      </c>
      <c r="D2" s="141" t="s">
        <v>7</v>
      </c>
      <c r="E2" s="142"/>
      <c r="F2" s="142"/>
      <c r="G2" s="142"/>
      <c r="H2" s="38"/>
      <c r="I2" s="1"/>
      <c r="J2" s="39"/>
      <c r="K2" s="39"/>
      <c r="L2" s="39"/>
      <c r="M2" s="39"/>
      <c r="N2" s="39"/>
      <c r="O2" s="39"/>
      <c r="P2" s="39"/>
      <c r="Q2" s="39"/>
      <c r="X2" s="75" t="str">
        <f>IFERROR(IF($B$6="Measured Acoustic Velocity",IF('Calc Engine'!AE2="","",'Calc Engine'!AE2),IF($B$6="Direct Wall Thickness / NDT",IF('Calc Engine'!AD2="","",'Calc Engine'!AD2),IF('Calc Engine'!AC2="","",'Calc Engine'!AC2))),"")</f>
        <v>Ductile iron</v>
      </c>
      <c r="Y2" s="75" t="str">
        <f>IFERROR(IF('Calc Engine'!AU2="","",'Calc Engine'!AU2),"")</f>
        <v>Class 1</v>
      </c>
      <c r="Z2" s="75">
        <f>IFERROR(IF('Calc Engine'!AF2="","",'Calc Engine'!AF2),"")</f>
        <v>80</v>
      </c>
    </row>
    <row r="3" spans="1:26" ht="43.7" customHeight="1">
      <c r="A3" s="40" t="s">
        <v>8</v>
      </c>
      <c r="B3" s="76">
        <v>46274</v>
      </c>
      <c r="C3" s="41" t="s">
        <v>9</v>
      </c>
      <c r="D3" s="147" t="str">
        <f>IF('Calc Engine'!$B$143="INVALID","ASSET PLANNING PRIORITY: NOT ASSESSED"&amp;CHAR(10)&amp;"Correct the required input before using the condition or planning result.","ASSET PLANNING PRIORITY: "&amp;D39&amp;CHAR(10)&amp;IF(D39="VERY HIGH","Poor condition combined with high consequence and/or severe failure evidence.",IF(D39="HIGH",IF(AND(ISNUMBER(SEARCH("GREEN",D7)),B16=5),"Pipe condition is GREEN, but consequence of failure is CRITICAL (5/5).","Condition, consequence and/or failure evidence requires elevated planning attention."),IF(D39="MEDIUM","Moderate planning attention based on condition, consequence and failure evidence.","Routine planning priority based on current condition and consequence."))))</f>
        <v>ASSET PLANNING PRIORITY: MEDIUM
Moderate planning attention based on condition, consequence and failure evidence.</v>
      </c>
      <c r="E3" s="118"/>
      <c r="F3" s="118"/>
      <c r="G3" s="118"/>
      <c r="H3" s="42"/>
      <c r="I3" s="1"/>
      <c r="J3" s="1"/>
      <c r="K3" s="1"/>
      <c r="L3" s="1"/>
      <c r="M3" s="1"/>
      <c r="N3" s="1"/>
      <c r="O3" s="1"/>
      <c r="P3" s="1"/>
      <c r="Q3" s="1"/>
      <c r="X3" s="75" t="str">
        <f>IFERROR(IF($B$6="Measured Acoustic Velocity",IF('Calc Engine'!AE3="","",'Calc Engine'!AE3),IF($B$6="Direct Wall Thickness / NDT",IF('Calc Engine'!AD3="","",'Calc Engine'!AD3),IF('Calc Engine'!AC3="","",'Calc Engine'!AC3))),"")</f>
        <v>Grey cast iron</v>
      </c>
      <c r="Y3" s="75" t="str">
        <f>IFERROR(IF('Calc Engine'!AU3="","",'Calc Engine'!AU3),"")</f>
        <v>Class 2</v>
      </c>
      <c r="Z3" s="75">
        <f>IFERROR(IF('Calc Engine'!AF3="","",'Calc Engine'!AF3),"")</f>
        <v>100</v>
      </c>
    </row>
    <row r="4" spans="1:26" ht="24.75" customHeight="1">
      <c r="A4" s="43" t="s">
        <v>10</v>
      </c>
      <c r="B4" s="77">
        <v>5</v>
      </c>
      <c r="C4" s="78" t="str">
        <f>IF($B$2="Metric","Enter surveyed length in km.","Enter surveyed length in miles.")</f>
        <v>Enter surveyed length in km.</v>
      </c>
      <c r="D4" s="118"/>
      <c r="E4" s="118"/>
      <c r="F4" s="118"/>
      <c r="G4" s="118"/>
      <c r="H4" s="44"/>
      <c r="I4" s="1"/>
      <c r="J4" s="1"/>
      <c r="K4" s="1"/>
      <c r="L4" s="1"/>
      <c r="M4" s="1"/>
      <c r="N4" s="1"/>
      <c r="O4" s="1"/>
      <c r="P4" s="1"/>
      <c r="Q4" s="1"/>
      <c r="X4" s="75" t="str">
        <f>IFERROR(IF($B$6="Measured Acoustic Velocity",IF('Calc Engine'!AE4="","",'Calc Engine'!AE4),IF($B$6="Direct Wall Thickness / NDT",IF('Calc Engine'!AD4="","",'Calc Engine'!AD4),IF('Calc Engine'!AC4="","",'Calc Engine'!AC4))),"")</f>
        <v>Carbon steel</v>
      </c>
      <c r="Y4" s="75" t="str">
        <f>IFERROR(IF('Calc Engine'!AU4="","",'Calc Engine'!AU4),"")</f>
        <v>Class 3</v>
      </c>
      <c r="Z4" s="75">
        <f>IFERROR(IF('Calc Engine'!AF4="","",'Calc Engine'!AF4),"")</f>
        <v>150</v>
      </c>
    </row>
    <row r="5" spans="1:26" ht="31.7" customHeight="1">
      <c r="A5" s="45" t="s">
        <v>11</v>
      </c>
      <c r="B5" s="79" t="s">
        <v>12</v>
      </c>
      <c r="C5" s="41" t="s">
        <v>13</v>
      </c>
      <c r="D5" s="118"/>
      <c r="E5" s="118"/>
      <c r="F5" s="118"/>
      <c r="G5" s="118"/>
      <c r="H5" s="44"/>
      <c r="I5" s="1"/>
      <c r="J5" s="1"/>
      <c r="K5" s="1"/>
      <c r="L5" s="1"/>
      <c r="M5" s="1"/>
      <c r="N5" s="1"/>
      <c r="O5" s="1"/>
      <c r="P5" s="1"/>
      <c r="Q5" s="1"/>
      <c r="X5" s="75" t="str">
        <f>IFERROR(IF($B$6="Measured Acoustic Velocity",IF('Calc Engine'!AE5="","",'Calc Engine'!AE5),IF($B$6="Direct Wall Thickness / NDT",IF('Calc Engine'!AD5="","",'Calc Engine'!AD5),IF('Calc Engine'!AC5="","",'Calc Engine'!AC5))),"")</f>
        <v>Copper</v>
      </c>
      <c r="Y5" s="75" t="str">
        <f>IFERROR(IF('Calc Engine'!AU5="","",'Calc Engine'!AU5),"")</f>
        <v>Unknown - Average</v>
      </c>
      <c r="Z5" s="75">
        <f>IFERROR(IF('Calc Engine'!AF5="","",'Calc Engine'!AF5),"")</f>
        <v>200</v>
      </c>
    </row>
    <row r="6" spans="1:26" ht="42.4" customHeight="1">
      <c r="A6" s="46" t="s">
        <v>14</v>
      </c>
      <c r="B6" s="80" t="s">
        <v>813</v>
      </c>
      <c r="C6" s="47" t="s">
        <v>16</v>
      </c>
      <c r="D6" s="151" t="s">
        <v>17</v>
      </c>
      <c r="E6" s="120"/>
      <c r="F6" s="120"/>
      <c r="G6" s="120"/>
      <c r="H6" s="44"/>
      <c r="I6" s="1"/>
      <c r="J6" s="1"/>
      <c r="K6" s="1"/>
      <c r="L6" s="1"/>
      <c r="M6" s="1"/>
      <c r="N6" s="1"/>
      <c r="O6" s="1"/>
      <c r="P6" s="1"/>
      <c r="Q6" s="1"/>
      <c r="X6" s="75" t="str">
        <f>IFERROR(IF($B$6="Measured Acoustic Velocity",IF('Calc Engine'!AE6="","",'Calc Engine'!AE6),IF($B$6="Direct Wall Thickness / NDT",IF('Calc Engine'!AD6="","",'Calc Engine'!AD6),IF('Calc Engine'!AC6="","",'Calc Engine'!AC6))),"")</f>
        <v>Galvanized iron</v>
      </c>
      <c r="Y6" s="75" t="str">
        <f>IFERROR(IF('Calc Engine'!AU6="","",'Calc Engine'!AU6),"")</f>
        <v>Unknown - Worst Case</v>
      </c>
      <c r="Z6" s="75">
        <f>IFERROR(IF('Calc Engine'!AF6="","",'Calc Engine'!AF6),"")</f>
        <v>250</v>
      </c>
    </row>
    <row r="7" spans="1:26" ht="45.4" customHeight="1">
      <c r="A7" s="48" t="s">
        <v>18</v>
      </c>
      <c r="B7" s="81">
        <v>1985</v>
      </c>
      <c r="C7" s="49" t="s">
        <v>19</v>
      </c>
      <c r="D7" s="145" t="str">
        <f>IF('Calc Engine'!$B$143="INVALID",'Calc Engine'!$B$144,"PIPE CONDITION / LIFE: "&amp;IF('Calc Engine'!B110="BELOW REQUIREMENT","RED",'Calc Engine'!B98)&amp;CHAR(10)&amp;"Estimated remaining-life range: "&amp;TEXT('Calc Engine'!B113,"0.0")&amp;"–"&amp;TEXT('Calc Engine'!B114,"0.0")&amp;" years"&amp;IF(AND('Calc Engine'!$B$129="Direct Wall Thickness / NDT",ISNUMBER('Calc Engine'!$B$130)),CHAR(10)&amp;"Measured structural wall reserve: "&amp;TEXT('Calc Engine'!$B$130,"0%")&amp;" — "&amp;'Calc Engine'!$B$93&amp;" (local indicator; not remaining life)","")&amp;CHAR(10)&amp;"Failure history: "&amp;'Calc Engine'!B47&amp;IF(B22="Auto from failure rate"," (Auto)"," (Engineer Override)")&amp;IF('Calc Engine'!B135&lt;&gt;"",CHAR(10)&amp;'Calc Engine'!B135,"")&amp;CHAR(10)&amp;"ENGINEERING ACTION: "&amp;IF('Calc Engine'!B110="BELOW REQUIREMENT","Operating pressure is below the entered minimum service requirement. Correct the operating-pressure input or operational condition before using the life result for planning.",IF('Calc Engine'!B98="RED","Detailed condition assessment and intervention review required now. Confirm condition evidence, failure mechanisms and consequence, then develop the rehabilitation or replacement action and timing.",IF('Calc Engine'!B98="AMBER","Detailed condition assessment required. Obtain or confirm direct condition evidence and place the asset into the rehabilitation programme. Define intervention and timing before the estimated remaining-life range approaches RED.","Continue in service. Maintain routine monitoring and normal long-term asset planning.")))&amp;IF(OR('Calc Engine'!$B$132="YES",'Calc Engine'!$B$141="YES"),CHAR(10)&amp;'Calc Engine'!$P$7,""))</f>
        <v>PIPE CONDITION / LIFE: GREEN
Estimated remaining-life range: 19.1–34.0 years
Failure history: Average (Auto)
ENGINEERING ACTION: Continue in service. Maintain routine monitoring and normal long-term asset planning.</v>
      </c>
      <c r="E7" s="118"/>
      <c r="F7" s="118"/>
      <c r="G7" s="118"/>
      <c r="H7" s="44"/>
      <c r="I7" s="1"/>
      <c r="J7" s="1"/>
      <c r="K7" s="1"/>
      <c r="L7" s="1"/>
      <c r="M7" s="1"/>
      <c r="N7" s="1"/>
      <c r="O7" s="1"/>
      <c r="P7" s="1"/>
      <c r="Q7" s="1"/>
      <c r="X7" s="75" t="str">
        <f>IFERROR(IF($B$6="Measured Acoustic Velocity",IF('Calc Engine'!AE7="","",'Calc Engine'!AE7),IF($B$6="Direct Wall Thickness / NDT",IF('Calc Engine'!AD7="","",'Calc Engine'!AD7),IF('Calc Engine'!AC7="","",'Calc Engine'!AC7))),"")</f>
        <v>Unknown metallic</v>
      </c>
      <c r="Y7" s="75" t="str">
        <f>IFERROR(IF('Calc Engine'!AU7="","",'Calc Engine'!AU7),"")</f>
        <v>Class 4</v>
      </c>
      <c r="Z7" s="75">
        <f>IFERROR(IF('Calc Engine'!AF7="","",'Calc Engine'!AF7),"")</f>
        <v>300</v>
      </c>
    </row>
    <row r="8" spans="1:26" ht="83.25" customHeight="1">
      <c r="A8" s="48" t="s">
        <v>20</v>
      </c>
      <c r="B8" s="82" t="s">
        <v>21</v>
      </c>
      <c r="C8" s="49" t="s">
        <v>22</v>
      </c>
      <c r="D8" s="118"/>
      <c r="E8" s="118"/>
      <c r="F8" s="118"/>
      <c r="G8" s="118"/>
      <c r="H8" s="44"/>
      <c r="I8" s="1"/>
      <c r="J8" s="1"/>
      <c r="K8" s="1"/>
      <c r="L8" s="1"/>
      <c r="M8" s="1"/>
      <c r="N8" s="1"/>
      <c r="O8" s="1"/>
      <c r="P8" s="1"/>
      <c r="Q8" s="1"/>
      <c r="X8" s="75" t="str">
        <f>IFERROR(IF($B$6="Measured Acoustic Velocity",IF('Calc Engine'!AE8="","",'Calc Engine'!AE8),IF($B$6="Direct Wall Thickness / NDT",IF('Calc Engine'!AD8="","",'Calc Engine'!AD8),IF('Calc Engine'!AC8="","",'Calc Engine'!AC8))),"")</f>
        <v>PVC / uPVC</v>
      </c>
      <c r="Y8" s="66"/>
      <c r="Z8" s="75">
        <f>IFERROR(IF('Calc Engine'!AF8="","",'Calc Engine'!AF8),"")</f>
        <v>350</v>
      </c>
    </row>
    <row r="9" spans="1:26" ht="84.95" customHeight="1">
      <c r="A9" s="48" t="s">
        <v>23</v>
      </c>
      <c r="B9" s="82" t="s">
        <v>24</v>
      </c>
      <c r="C9" s="49" t="s">
        <v>25</v>
      </c>
      <c r="D9" s="118"/>
      <c r="E9" s="118"/>
      <c r="F9" s="118"/>
      <c r="G9" s="118"/>
      <c r="H9" s="44"/>
      <c r="I9" s="1"/>
      <c r="J9" s="1"/>
      <c r="K9" s="1"/>
      <c r="L9" s="1"/>
      <c r="M9" s="1"/>
      <c r="N9" s="1"/>
      <c r="O9" s="1"/>
      <c r="P9" s="1"/>
      <c r="Q9" s="1"/>
      <c r="X9" s="75" t="str">
        <f>IFERROR(IF($B$6="Measured Acoustic Velocity",IF('Calc Engine'!AE9="","",'Calc Engine'!AE9),IF($B$6="Direct Wall Thickness / NDT",IF('Calc Engine'!AD9="","",'Calc Engine'!AD9),IF('Calc Engine'!AC9="","",'Calc Engine'!AC9))),"")</f>
        <v>HDPE / MDPE</v>
      </c>
      <c r="Y9" s="66"/>
      <c r="Z9" s="75">
        <f>IFERROR(IF('Calc Engine'!AF9="","",'Calc Engine'!AF9),"")</f>
        <v>400</v>
      </c>
    </row>
    <row r="10" spans="1:26" ht="64.7" customHeight="1">
      <c r="A10" s="48" t="s">
        <v>26</v>
      </c>
      <c r="B10" s="82">
        <v>200</v>
      </c>
      <c r="C10" s="83" t="str">
        <f>IF('Calc Engine'!$B$158="INVALID","PLEASE RESELECT PIPE DIAMETER — the current diameter is not valid for the selected material / assessment method.","Choose the pipe diameter from the drop-down. Only sizes within the model scope and supported by the relevant material/reference data are offered. "&amp;"Metric shows exact reference mm; Imperial shows a readable inch label with the exact metric reference in brackets.")</f>
        <v>Choose the pipe diameter from the drop-down. Only sizes within the model scope and supported by the relevant material/reference data are offered. Metric shows exact reference mm; Imperial shows a readable inch label with the exact metric reference in brackets.</v>
      </c>
      <c r="D10" s="118"/>
      <c r="E10" s="118"/>
      <c r="F10" s="118"/>
      <c r="G10" s="118"/>
      <c r="H10" s="44"/>
      <c r="I10" s="1"/>
      <c r="J10" s="1"/>
      <c r="K10" s="1"/>
      <c r="L10" s="1"/>
      <c r="M10" s="1"/>
      <c r="N10" s="1"/>
      <c r="O10" s="1"/>
      <c r="P10" s="1"/>
      <c r="Q10" s="1"/>
      <c r="X10" s="75" t="str">
        <f>IFERROR(IF($B$6="Measured Acoustic Velocity",IF('Calc Engine'!AE10="","",'Calc Engine'!AE10),IF($B$6="Direct Wall Thickness / NDT",IF('Calc Engine'!AD10="","",'Calc Engine'!AD10),IF('Calc Engine'!AC10="","",'Calc Engine'!AC10))),"")</f>
        <v>GRP / Fiberglass</v>
      </c>
      <c r="Y10" s="66"/>
      <c r="Z10" s="75">
        <f>IFERROR(IF('Calc Engine'!AF10="","",'Calc Engine'!AF10),"")</f>
        <v>450</v>
      </c>
    </row>
    <row r="11" spans="1:26" ht="73.7" customHeight="1">
      <c r="A11" s="84" t="str">
        <f>IF('Calc Engine'!$B$129="Measured Acoustic Velocity","Measured correlator velocity",IF($B$6="Measured Acoustic Velocity","Measured correlator velocity — NOT AVAILABLE FOR SELECTED MATERIAL","Measured correlator velocity — NOT USED"))</f>
        <v>Measured correlator velocity — NOT USED</v>
      </c>
      <c r="B11" s="85">
        <v>1.35</v>
      </c>
      <c r="C11" s="49" t="s">
        <v>27</v>
      </c>
      <c r="D11" s="44"/>
      <c r="E11" s="44"/>
      <c r="F11" s="44"/>
      <c r="G11" s="44"/>
      <c r="H11" s="44"/>
      <c r="I11" s="1"/>
      <c r="J11" s="1"/>
      <c r="K11" s="1"/>
      <c r="L11" s="1"/>
      <c r="M11" s="1"/>
      <c r="N11" s="1"/>
      <c r="O11" s="1"/>
      <c r="P11" s="1"/>
      <c r="Q11" s="1"/>
      <c r="X11" s="75" t="str">
        <f>IFERROR(IF($B$6="Measured Acoustic Velocity",IF('Calc Engine'!AE11="","",'Calc Engine'!AE11),IF($B$6="Direct Wall Thickness / NDT",IF('Calc Engine'!AD11="","",'Calc Engine'!AD11),IF('Calc Engine'!AC11="","",'Calc Engine'!AC11))),"")</f>
        <v>Asbestos cement</v>
      </c>
      <c r="Y11" s="66"/>
      <c r="Z11" s="75">
        <f>IFERROR(IF('Calc Engine'!AF11="","",'Calc Engine'!AF11),"")</f>
        <v>500</v>
      </c>
    </row>
    <row r="12" spans="1:26" ht="117" customHeight="1">
      <c r="A12" s="84" t="str">
        <f>IF('Calc Engine'!$B$129="Direct Wall Thickness / NDT","Direct wall thickness / NDT",IF($B$6="Direct Wall Thickness / NDT","Direct wall thickness / NDT — NOT AVAILABLE FOR NON-METALLIC","Direct wall thickness / NDT — NOT USED"))</f>
        <v>Direct wall thickness / NDT — NOT USED</v>
      </c>
      <c r="B12" s="86">
        <v>6</v>
      </c>
      <c r="C12" s="49" t="s">
        <v>28</v>
      </c>
      <c r="D12" s="152" t="str">
        <f>IF('Calc Engine'!$B$143="INVALID","WHAT-IF PRESSURE"&amp;CHAR(10)&amp;"NOT ASSESSED"&amp;CHAR(10)&amp;"Correct required inputs before using the what-if life result.","WHAT-IF PRESSURE"&amp;CHAR(10)&amp;IF('Calc Engine'!B111="BELOW REQUIREMENT","OPERATIONAL STATUS: RED — BELOW MINIMUM SERVICE PRESSURE"&amp;CHAR(10)&amp;"STRUCTURAL CONDITION: "&amp;'Calc Engine'!B153,"STRUCTURAL CONDITION: "&amp;'Calc Engine'!B153)&amp;CHAR(10)&amp;"Estimated structural life range: "&amp;TEXT('Calc Engine'!B115,"0.0")&amp;"–"&amp;TEXT('Calc Engine'!B116,"0.0")&amp;" years"&amp;CHAR(10)&amp;"Life impact (central): "&amp;TEXT(D32,"0.0")&amp;" years")</f>
        <v>WHAT-IF PRESSURE
STRUCTURAL CONDITION: GREEN
Estimated structural life range: 19.1–34.0 years
Life impact (central): 0.0 years</v>
      </c>
      <c r="E12" s="118"/>
      <c r="F12" s="118"/>
      <c r="G12" s="118"/>
      <c r="H12" s="44"/>
      <c r="I12" s="1"/>
      <c r="J12" s="1"/>
      <c r="K12" s="1"/>
      <c r="L12" s="1"/>
      <c r="M12" s="1"/>
      <c r="N12" s="1"/>
      <c r="O12" s="1"/>
      <c r="P12" s="1"/>
      <c r="Q12" s="1"/>
      <c r="X12" s="75" t="str">
        <f>IFERROR(IF($B$6="Measured Acoustic Velocity",IF('Calc Engine'!AE12="","",'Calc Engine'!AE12),IF($B$6="Direct Wall Thickness / NDT",IF('Calc Engine'!AD12="","",'Calc Engine'!AD12),IF('Calc Engine'!AC12="","",'Calc Engine'!AC12))),"")</f>
        <v>Concrete</v>
      </c>
      <c r="Y12" s="66"/>
      <c r="Z12" s="75">
        <f>IFERROR(IF('Calc Engine'!AF12="","",'Calc Engine'!AF12),"")</f>
        <v>600</v>
      </c>
    </row>
    <row r="13" spans="1:26" ht="29.1" customHeight="1">
      <c r="A13" s="48" t="s">
        <v>29</v>
      </c>
      <c r="B13" s="82">
        <v>20</v>
      </c>
      <c r="C13" s="83" t="str">
        <f>IF($B$2="Metric","m head","psi")&amp;". Normal operating pressure."</f>
        <v>m head. Normal operating pressure.</v>
      </c>
      <c r="D13" s="118"/>
      <c r="E13" s="118"/>
      <c r="F13" s="118"/>
      <c r="G13" s="118"/>
      <c r="H13" s="44"/>
      <c r="I13" s="1"/>
      <c r="J13" s="1"/>
      <c r="K13" s="1"/>
      <c r="L13" s="1"/>
      <c r="M13" s="1"/>
      <c r="N13" s="1"/>
      <c r="O13" s="1"/>
      <c r="P13" s="1"/>
      <c r="Q13" s="1"/>
      <c r="X13" s="75" t="str">
        <f>IFERROR(IF($B$6="Measured Acoustic Velocity",IF('Calc Engine'!AE13="","",'Calc Engine'!AE13),IF($B$6="Direct Wall Thickness / NDT",IF('Calc Engine'!AD13="","",'Calc Engine'!AD13),IF('Calc Engine'!AC13="","",'Calc Engine'!AC13))),"")</f>
        <v>PCCP</v>
      </c>
      <c r="Y13" s="66"/>
      <c r="Z13" s="75">
        <f>IFERROR(IF('Calc Engine'!AF13="","",'Calc Engine'!AF13),"")</f>
        <v>700</v>
      </c>
    </row>
    <row r="14" spans="1:26" ht="45.4" customHeight="1">
      <c r="A14" s="48" t="s">
        <v>30</v>
      </c>
      <c r="B14" s="82">
        <v>20</v>
      </c>
      <c r="C14" s="83" t="str">
        <f>IF($B$2="Metric","m head","psi")&amp;". Proposed operating pressure. Life is recalculated using the same condition evidence and the applicable chronological or measured-evidence horizon."</f>
        <v>m head. Proposed operating pressure. Life is recalculated using the same condition evidence and the applicable chronological or measured-evidence horizon.</v>
      </c>
      <c r="D14" s="118"/>
      <c r="E14" s="118"/>
      <c r="F14" s="118"/>
      <c r="G14" s="118"/>
      <c r="H14" s="44"/>
      <c r="I14" s="1"/>
      <c r="J14" s="1"/>
      <c r="K14" s="1"/>
      <c r="L14" s="1"/>
      <c r="M14" s="1"/>
      <c r="N14" s="1"/>
      <c r="O14" s="1"/>
      <c r="P14" s="1"/>
      <c r="Q14" s="1"/>
      <c r="X14" s="66"/>
      <c r="Y14" s="66"/>
      <c r="Z14" s="75">
        <f>IFERROR(IF('Calc Engine'!AF14="","",'Calc Engine'!AF14),"")</f>
        <v>0</v>
      </c>
    </row>
    <row r="15" spans="1:26" ht="42.4" customHeight="1">
      <c r="A15" s="48" t="s">
        <v>31</v>
      </c>
      <c r="B15" s="82" t="s">
        <v>32</v>
      </c>
      <c r="C15" s="49" t="s">
        <v>33</v>
      </c>
      <c r="D15" s="118"/>
      <c r="E15" s="118"/>
      <c r="F15" s="118"/>
      <c r="G15" s="118"/>
      <c r="H15" s="44"/>
      <c r="I15" s="1"/>
      <c r="J15" s="1"/>
      <c r="K15" s="1"/>
      <c r="L15" s="1"/>
      <c r="M15" s="1"/>
      <c r="N15" s="1"/>
      <c r="O15" s="1"/>
      <c r="P15" s="1"/>
      <c r="Q15" s="1"/>
      <c r="X15" s="66"/>
      <c r="Y15" s="66"/>
      <c r="Z15" s="75">
        <f>IFERROR(IF('Calc Engine'!AF15="","",'Calc Engine'!AF15),"")</f>
        <v>0</v>
      </c>
    </row>
    <row r="16" spans="1:26" ht="24" customHeight="1">
      <c r="A16" s="48" t="s">
        <v>34</v>
      </c>
      <c r="B16" s="82">
        <v>3</v>
      </c>
      <c r="C16" s="49" t="s">
        <v>35</v>
      </c>
      <c r="D16" s="44"/>
      <c r="E16" s="44"/>
      <c r="F16" s="44"/>
      <c r="G16" s="44"/>
      <c r="H16" s="44"/>
      <c r="I16" s="1"/>
      <c r="J16" s="1"/>
      <c r="K16" s="1"/>
      <c r="L16" s="1"/>
      <c r="M16" s="1"/>
      <c r="N16" s="1"/>
      <c r="O16" s="1"/>
      <c r="P16" s="1"/>
      <c r="Q16" s="1"/>
      <c r="X16" s="66"/>
      <c r="Y16" s="66"/>
      <c r="Z16" s="75">
        <f>IFERROR(IF('Calc Engine'!AF16="","",'Calc Engine'!AF16),"")</f>
        <v>0</v>
      </c>
    </row>
    <row r="17" spans="1:26" ht="40.700000000000003" customHeight="1">
      <c r="A17" s="48" t="s">
        <v>36</v>
      </c>
      <c r="B17" s="82">
        <v>2</v>
      </c>
      <c r="C17" s="83" t="str">
        <f>IF($B$2="Metric","m additional head","psi additional pressure")&amp;". Enter the maximum credible transient increase above normal operating pressure."</f>
        <v>m additional head. Enter the maximum credible transient increase above normal operating pressure.</v>
      </c>
      <c r="D17" s="143" t="str">
        <f>IF('Calc Engine'!$B$129="Direct Wall Thickness / NDT","DIRECT WALL / NDT SELECTED — acoustic velocity is not used.",IF('Calc Engine'!$B$129="Measured Acoustic Velocity",'Calc Engine'!B71,IF(AND($B$6&lt;&gt;"Engineering Best-Practice Assessment",$B$6&lt;&gt;'Calc Engine'!$B$129),"SELECTED METHOD IS NOT APPLICABLE TO THIS MATERIAL — Engineering Best-Practice Assessment is being used.","ENGINEERING BEST-PRACTICE ASSESSMENT — direct wall and velocity inputs are not used.")))&amp;IF(OR('Calc Engine'!$B$132="YES",'Calc Engine'!$B$141="YES"),CHAR(10)&amp;'Calc Engine'!$P$7,"")</f>
        <v>ENGINEERING BEST-PRACTICE ASSESSMENT — direct wall and velocity inputs are not used.</v>
      </c>
      <c r="E17" s="118"/>
      <c r="F17" s="118"/>
      <c r="G17" s="118"/>
      <c r="H17" s="70"/>
      <c r="I17" s="1"/>
      <c r="J17" s="1"/>
      <c r="K17" s="1"/>
      <c r="L17" s="1"/>
      <c r="M17" s="1"/>
      <c r="N17" s="1"/>
      <c r="O17" s="1"/>
      <c r="P17" s="1"/>
      <c r="Q17" s="1"/>
      <c r="X17" s="66"/>
      <c r="Y17" s="66"/>
      <c r="Z17" s="75">
        <f>IFERROR(IF('Calc Engine'!AF17="","",'Calc Engine'!AF17),"")</f>
        <v>0</v>
      </c>
    </row>
    <row r="18" spans="1:26" ht="119.25" customHeight="1">
      <c r="A18" s="48" t="s">
        <v>37</v>
      </c>
      <c r="B18" s="82" t="s">
        <v>38</v>
      </c>
      <c r="C18" s="49" t="s">
        <v>39</v>
      </c>
      <c r="D18" s="118"/>
      <c r="E18" s="118"/>
      <c r="F18" s="118"/>
      <c r="G18" s="118"/>
      <c r="H18" s="70"/>
      <c r="I18" s="1"/>
      <c r="J18" s="1"/>
      <c r="K18" s="1"/>
      <c r="L18" s="1"/>
      <c r="M18" s="1"/>
      <c r="N18" s="1"/>
      <c r="O18" s="1"/>
      <c r="P18" s="1"/>
      <c r="Q18" s="1"/>
      <c r="X18" s="66"/>
      <c r="Y18" s="66"/>
      <c r="Z18" s="75">
        <f>IFERROR(IF('Calc Engine'!AF18="","",'Calc Engine'!AF18),"")</f>
        <v>0</v>
      </c>
    </row>
    <row r="19" spans="1:26" ht="31.7" customHeight="1">
      <c r="A19" s="48" t="s">
        <v>40</v>
      </c>
      <c r="B19" s="82">
        <v>100</v>
      </c>
      <c r="C19" s="83" t="str">
        <f>IF($B$2="Metric","m head","psi")&amp;"; enter rated pressure if known."</f>
        <v>m head; enter rated pressure if known.</v>
      </c>
      <c r="D19" s="118"/>
      <c r="E19" s="118"/>
      <c r="F19" s="118"/>
      <c r="G19" s="118"/>
      <c r="H19" s="70"/>
      <c r="I19" s="1"/>
      <c r="J19" s="1"/>
      <c r="K19" s="1"/>
      <c r="L19" s="1"/>
      <c r="M19" s="1"/>
      <c r="N19" s="1"/>
      <c r="O19" s="1"/>
      <c r="P19" s="1"/>
      <c r="Q19" s="1"/>
      <c r="X19" s="66"/>
      <c r="Y19" s="66"/>
      <c r="Z19" s="75">
        <f>IFERROR(IF('Calc Engine'!AF19="","",'Calc Engine'!AF19),"")</f>
        <v>0</v>
      </c>
    </row>
    <row r="20" spans="1:26" ht="66" customHeight="1">
      <c r="A20" s="48" t="s">
        <v>41</v>
      </c>
      <c r="B20" s="82" t="s">
        <v>32</v>
      </c>
      <c r="C20" s="49" t="s">
        <v>42</v>
      </c>
      <c r="D20" s="144" t="s">
        <v>43</v>
      </c>
      <c r="E20" s="120"/>
      <c r="F20" s="120"/>
      <c r="G20" s="120"/>
      <c r="H20" s="71"/>
      <c r="I20" s="1"/>
      <c r="J20" s="1"/>
      <c r="K20" s="1"/>
      <c r="L20" s="1"/>
      <c r="M20" s="1"/>
      <c r="N20" s="1"/>
      <c r="O20" s="1"/>
      <c r="P20" s="1"/>
      <c r="Q20" s="1"/>
      <c r="X20" s="66"/>
      <c r="Y20" s="66"/>
      <c r="Z20" s="75">
        <f>IFERROR(IF('Calc Engine'!AF20="","",'Calc Engine'!AF20),"")</f>
        <v>0</v>
      </c>
    </row>
    <row r="21" spans="1:26" ht="34.700000000000003" customHeight="1">
      <c r="A21" s="48" t="s">
        <v>44</v>
      </c>
      <c r="B21" s="82" t="s">
        <v>45</v>
      </c>
      <c r="C21" s="49" t="s">
        <v>46</v>
      </c>
      <c r="D21" s="120"/>
      <c r="E21" s="120"/>
      <c r="F21" s="120"/>
      <c r="G21" s="120"/>
      <c r="H21" s="71"/>
      <c r="I21" s="1"/>
      <c r="J21" s="1"/>
      <c r="K21" s="1"/>
      <c r="L21" s="1"/>
      <c r="M21" s="1"/>
      <c r="N21" s="1"/>
      <c r="O21" s="1"/>
      <c r="P21" s="1"/>
      <c r="Q21" s="1"/>
      <c r="X21" s="66"/>
      <c r="Y21" s="66"/>
      <c r="Z21" s="75">
        <f>IFERROR(IF('Calc Engine'!AF21="","",'Calc Engine'!AF21),"")</f>
        <v>0</v>
      </c>
    </row>
    <row r="22" spans="1:26" ht="72.75" customHeight="1">
      <c r="A22" s="48" t="s">
        <v>47</v>
      </c>
      <c r="B22" s="82" t="s">
        <v>48</v>
      </c>
      <c r="C22" s="49" t="s">
        <v>49</v>
      </c>
      <c r="D22" s="120"/>
      <c r="E22" s="120"/>
      <c r="F22" s="120"/>
      <c r="G22" s="120"/>
      <c r="H22" s="71"/>
      <c r="I22" s="1"/>
      <c r="J22" s="1"/>
      <c r="K22" s="1"/>
      <c r="L22" s="1"/>
      <c r="M22" s="1"/>
      <c r="N22" s="1"/>
      <c r="O22" s="1"/>
      <c r="P22" s="1"/>
      <c r="Q22" s="1"/>
      <c r="X22" s="66"/>
      <c r="Y22" s="66"/>
      <c r="Z22" s="75">
        <f>IFERROR(IF('Calc Engine'!AF22="","",'Calc Engine'!AF22),"")</f>
        <v>0</v>
      </c>
    </row>
    <row r="23" spans="1:26" ht="27.95" customHeight="1">
      <c r="A23" s="48" t="s">
        <v>50</v>
      </c>
      <c r="B23" s="87">
        <v>1</v>
      </c>
      <c r="C23" s="49" t="s">
        <v>51</v>
      </c>
      <c r="D23" s="120"/>
      <c r="E23" s="120"/>
      <c r="F23" s="120"/>
      <c r="G23" s="120"/>
      <c r="H23" s="71"/>
      <c r="I23" s="1"/>
      <c r="J23" s="1"/>
      <c r="K23" s="1"/>
      <c r="L23" s="1"/>
      <c r="M23" s="1"/>
      <c r="N23" s="1"/>
      <c r="O23" s="1"/>
      <c r="P23" s="1"/>
      <c r="Q23" s="1"/>
      <c r="X23" s="66"/>
      <c r="Y23" s="66"/>
      <c r="Z23" s="75">
        <f>IFERROR(IF('Calc Engine'!AF23="","",'Calc Engine'!AF23),"")</f>
        <v>0</v>
      </c>
    </row>
    <row r="24" spans="1:26" ht="43.7" customHeight="1">
      <c r="A24" s="48" t="s">
        <v>52</v>
      </c>
      <c r="B24" s="88">
        <v>1</v>
      </c>
      <c r="C24" s="49" t="s">
        <v>53</v>
      </c>
      <c r="D24" s="120"/>
      <c r="E24" s="120"/>
      <c r="F24" s="120"/>
      <c r="G24" s="120"/>
      <c r="H24" s="71"/>
      <c r="I24" s="1"/>
      <c r="J24" s="1"/>
      <c r="K24" s="1"/>
      <c r="L24" s="1"/>
      <c r="M24" s="1"/>
      <c r="N24" s="1"/>
      <c r="O24" s="1"/>
      <c r="P24" s="1"/>
      <c r="Q24" s="1"/>
      <c r="X24" s="66"/>
      <c r="Y24" s="66"/>
      <c r="Z24" s="75">
        <f>IFERROR(IF('Calc Engine'!AF24="","",'Calc Engine'!AF24),"")</f>
        <v>0</v>
      </c>
    </row>
    <row r="25" spans="1:26" ht="44.1" customHeight="1">
      <c r="A25" s="84" t="str">
        <f>IF($B$2="Metric","Calculated failure rate (bursts/100 km/year)","Calculated failure rate (bursts/100 miles/year)")</f>
        <v>Calculated failure rate (bursts/100 km/year)</v>
      </c>
      <c r="B25" s="89">
        <f>IF(ISNUMBER('Calc Engine'!$B$45),'Calc Engine'!$B$45*IF($B$2="Metric",1,'Unit Selection'!$E$8),"")</f>
        <v>20</v>
      </c>
      <c r="C25" s="83" t="str">
        <f>IF(AND(ISNUMBER(D33),OR(NOT(ISNUMBER(B25)),ABS(N(B25)-N(D33))&gt;0.000001)),"DISPLAY CHECK: calculated rate is "&amp;TEXT(D33,"0.00")&amp;IF($B$2="Metric"," bursts/100 km/year. "," bursts/100 miles/year. "),"")&amp;"Calculated from recorded failures, history period and surveyed length. B25 is protected; change those source inputs to update the rate."</f>
        <v>Calculated from recorded failures, history period and surveyed length. B25 is protected; change those source inputs to update the rate.</v>
      </c>
      <c r="D25" s="146" t="str">
        <f>"CONDITION EVIDENCE USED: "&amp;'Calc Engine'!B82&amp;" | "&amp;'Calc Engine'!B99</f>
        <v>CONDITION EVIDENCE USED: ENGINEERING BEST-PRACTICE ASSESSMENT | No direct measurement method is selected. Findings are based on the Engineering Best-Practice Assessment.</v>
      </c>
      <c r="E25" s="118"/>
      <c r="F25" s="118"/>
      <c r="G25" s="118"/>
      <c r="H25" s="67"/>
      <c r="I25" s="1"/>
      <c r="J25" s="1"/>
      <c r="K25" s="1"/>
      <c r="L25" s="1"/>
      <c r="M25" s="1"/>
      <c r="N25" s="1"/>
      <c r="O25" s="1"/>
      <c r="P25" s="1"/>
      <c r="Q25" s="1"/>
      <c r="X25" s="66"/>
      <c r="Y25" s="66"/>
      <c r="Z25" s="75">
        <f>IFERROR(IF('Calc Engine'!AF25="","",'Calc Engine'!AF25),"")</f>
        <v>0</v>
      </c>
    </row>
    <row r="26" spans="1:26" ht="37.5" customHeight="1">
      <c r="A26" s="50" t="s">
        <v>54</v>
      </c>
      <c r="B26" s="90">
        <v>20</v>
      </c>
      <c r="C26" s="83" t="str">
        <f>IF($B$2="Metric","m head","psi")&amp;". Enter the utility/service requirement. Actual and what-if pressure are checked against this operational floor."</f>
        <v>m head. Enter the utility/service requirement. Actual and what-if pressure are checked against this operational floor.</v>
      </c>
      <c r="D26" s="91" t="str">
        <f>IF('Calc Engine'!$B$143="INVALID","CURRENT PRESSURE: NOT ASSESSED",IF('Calc Engine'!B110="OK","CURRENT PRESSURE: meets entered service requirement","CURRENT PRESSURE WARNING: below entered minimum service requirement"))</f>
        <v>CURRENT PRESSURE: meets entered service requirement</v>
      </c>
      <c r="E26" s="51"/>
      <c r="F26" s="51"/>
      <c r="G26" s="51"/>
      <c r="H26" s="51"/>
      <c r="I26" s="1"/>
      <c r="J26" s="1"/>
      <c r="K26" s="1"/>
      <c r="L26" s="1"/>
      <c r="M26" s="1"/>
      <c r="N26" s="1"/>
      <c r="O26" s="1"/>
      <c r="P26" s="1"/>
      <c r="Q26" s="1"/>
      <c r="X26" s="66"/>
      <c r="Y26" s="66"/>
      <c r="Z26" s="75">
        <f>IFERROR(IF('Calc Engine'!AF26="","",'Calc Engine'!AF26),"")</f>
        <v>0</v>
      </c>
    </row>
    <row r="27" spans="1:26" ht="91.5" customHeight="1">
      <c r="A27" s="50" t="s">
        <v>55</v>
      </c>
      <c r="B27" s="85" t="s">
        <v>56</v>
      </c>
      <c r="C27" s="49" t="s">
        <v>57</v>
      </c>
      <c r="D27" s="92" t="str">
        <f>IF('Calc Engine'!$B$143="INVALID","WHAT-IF PRESSURE: NOT ASSESSED",IF('Calc Engine'!B111="OK","WHAT-IF PRESSURE: operationally acceptable","WHAT-IF PRESSURE: NOT operationally acceptable — below entered service requirement"))</f>
        <v>WHAT-IF PRESSURE: operationally acceptable</v>
      </c>
      <c r="E27" s="52"/>
      <c r="F27" s="52"/>
      <c r="G27" s="52"/>
      <c r="H27" s="52"/>
      <c r="I27" s="1"/>
      <c r="J27" s="1"/>
      <c r="K27" s="1"/>
      <c r="L27" s="1"/>
      <c r="M27" s="1"/>
      <c r="N27" s="1"/>
      <c r="O27" s="1"/>
      <c r="P27" s="1"/>
      <c r="Q27" s="1"/>
      <c r="X27" s="66"/>
      <c r="Y27" s="66"/>
      <c r="Z27" s="75">
        <f>IFERROR(IF('Calc Engine'!AF27="","",'Calc Engine'!AF27),"")</f>
        <v>0</v>
      </c>
    </row>
    <row r="28" spans="1:26">
      <c r="A28" s="126" t="s">
        <v>58</v>
      </c>
      <c r="B28" s="127"/>
      <c r="C28" s="127"/>
      <c r="D28" s="149" t="str">
        <f>IF('Calc Engine'!I2="Metallic","Metallic wall-loss / pressure-surge model",IF('Calc Engine'!I2="Plastic","Plastic ageing / creep-fatigue / pressure model",IF('Calc Engine'!I2="GRP","GRP retained-strength / pressure-cycle model",IF('Calc Engine'!I2="AC","Asbestos-cement ageing / chemical-degradation model",IF('Calc Engine'!I2="PCCP","PCCP structural / prestressing-condition model","Concrete structural deterioration model")))))</f>
        <v>Metallic wall-loss / pressure-surge model</v>
      </c>
      <c r="E28" s="118"/>
      <c r="F28" s="118"/>
      <c r="G28" s="118"/>
      <c r="H28" s="69"/>
      <c r="I28" s="1"/>
      <c r="J28" s="1"/>
      <c r="K28" s="1"/>
      <c r="L28" s="1"/>
      <c r="M28" s="1"/>
      <c r="N28" s="1"/>
      <c r="O28" s="1"/>
      <c r="P28" s="1"/>
      <c r="Q28" s="1"/>
      <c r="X28" s="66"/>
      <c r="Y28" s="66"/>
      <c r="Z28" s="75">
        <f>IFERROR(IF('Calc Engine'!AF28="","",'Calc Engine'!AF28),"")</f>
        <v>0</v>
      </c>
    </row>
    <row r="29" spans="1:26">
      <c r="A29" s="126" t="s">
        <v>59</v>
      </c>
      <c r="B29" s="127"/>
      <c r="C29" s="127"/>
      <c r="D29" s="139" t="str">
        <f>IF('Calc Engine'!$B$143="INVALID","NOT ASSESSED — correct required input",IF('Calc Engine'!I2="Metallic",'Calc Engine'!B32,"Screening estimate — material-specific age, pressure, surge, environment, condition and failure-history factors"))</f>
        <v>LOW-MEDIUM - Engineering Best-Practice Assessment using age, environment, pressure, condition and failure history</v>
      </c>
      <c r="E29" s="118"/>
      <c r="F29" s="118"/>
      <c r="G29" s="118"/>
      <c r="H29" s="118"/>
      <c r="I29" s="1"/>
      <c r="J29" s="1"/>
      <c r="K29" s="1"/>
      <c r="L29" s="1"/>
      <c r="M29" s="1"/>
      <c r="N29" s="1"/>
      <c r="O29" s="1"/>
      <c r="P29" s="1"/>
      <c r="Q29" s="1"/>
      <c r="X29" s="66"/>
      <c r="Y29" s="66"/>
      <c r="Z29" s="75">
        <f>IFERROR(IF('Calc Engine'!AF29="","",'Calc Engine'!AF29),"")</f>
        <v>0</v>
      </c>
    </row>
    <row r="30" spans="1:26">
      <c r="A30" s="126" t="s">
        <v>60</v>
      </c>
      <c r="B30" s="127"/>
      <c r="C30" s="127"/>
      <c r="D30" s="128" t="str">
        <f>IF('Calc Engine'!$B$143="INVALID","NOT ASSESSED",TEXT('Calc Engine'!B113,"0.0")&amp;"–"&amp;TEXT('Calc Engine'!B114,"0.0")&amp;" years")</f>
        <v>19.1–34.0 years</v>
      </c>
      <c r="E30" s="118"/>
      <c r="F30" s="118"/>
      <c r="G30" s="118"/>
      <c r="H30" s="118"/>
      <c r="I30" s="1"/>
      <c r="J30" s="1"/>
      <c r="K30" s="1"/>
      <c r="L30" s="1"/>
      <c r="M30" s="1"/>
      <c r="N30" s="1"/>
      <c r="O30" s="1"/>
      <c r="P30" s="1"/>
      <c r="Q30" s="1"/>
      <c r="X30" s="66"/>
      <c r="Y30" s="66"/>
      <c r="Z30" s="75">
        <f>IFERROR(IF('Calc Engine'!AF30="","",'Calc Engine'!AF30),"")</f>
        <v>0</v>
      </c>
    </row>
    <row r="31" spans="1:26" ht="15">
      <c r="A31" s="132" t="s">
        <v>61</v>
      </c>
      <c r="B31" s="127"/>
      <c r="C31" s="127"/>
      <c r="D31" s="128" t="str">
        <f>IF('Calc Engine'!$B$143="INVALID","NOT ASSESSED",TEXT('Calc Engine'!B115,"0.0")&amp;"–"&amp;TEXT('Calc Engine'!B116,"0.0")&amp;" years")</f>
        <v>19.1–34.0 years</v>
      </c>
      <c r="E31" s="118"/>
      <c r="F31" s="118"/>
      <c r="G31" s="118"/>
      <c r="H31" s="72"/>
      <c r="I31" s="1"/>
      <c r="J31" s="1"/>
      <c r="K31" s="1"/>
      <c r="L31" s="1"/>
      <c r="M31" s="1"/>
      <c r="N31" s="1"/>
      <c r="O31" s="1"/>
      <c r="P31" s="1"/>
      <c r="Q31" s="1"/>
      <c r="X31" s="66"/>
      <c r="Y31" s="66"/>
      <c r="Z31" s="75">
        <f>IFERROR(IF('Calc Engine'!AF31="","",'Calc Engine'!AF31),"")</f>
        <v>0</v>
      </c>
    </row>
    <row r="32" spans="1:26">
      <c r="A32" s="132" t="s">
        <v>62</v>
      </c>
      <c r="B32" s="127"/>
      <c r="C32" s="127"/>
      <c r="D32" s="133">
        <f>IF('Calc Engine'!I2="Metallic",'Calc Engine'!L15,'Calc Engine'!I15)</f>
        <v>0</v>
      </c>
      <c r="E32" s="118"/>
      <c r="F32" s="118"/>
      <c r="G32" s="118"/>
      <c r="H32" s="118"/>
      <c r="I32" s="1"/>
      <c r="J32" s="1"/>
      <c r="K32" s="1"/>
      <c r="L32" s="1"/>
      <c r="M32" s="1"/>
      <c r="N32" s="1"/>
      <c r="O32" s="1"/>
      <c r="P32" s="1"/>
      <c r="Q32" s="1"/>
      <c r="X32" s="66"/>
      <c r="Y32" s="66"/>
      <c r="Z32" s="75">
        <f>IFERROR(IF('Calc Engine'!AF32="","",'Calc Engine'!AF32),"")</f>
        <v>0</v>
      </c>
    </row>
    <row r="33" spans="1:26">
      <c r="A33" s="132" t="s">
        <v>63</v>
      </c>
      <c r="B33" s="127"/>
      <c r="C33" s="127"/>
      <c r="D33" s="131">
        <f>IF(ISNUMBER('Calc Engine'!$B$45),'Calc Engine'!$B$45*IF($B$2="Metric",1,'Unit Selection'!$E$8),"")</f>
        <v>20</v>
      </c>
      <c r="E33" s="118"/>
      <c r="F33" s="118"/>
      <c r="G33" s="118"/>
      <c r="H33" s="118"/>
      <c r="I33" s="1"/>
      <c r="J33" s="1"/>
      <c r="K33" s="1"/>
      <c r="L33" s="1"/>
      <c r="M33" s="1"/>
      <c r="N33" s="1"/>
      <c r="O33" s="1"/>
      <c r="P33" s="1"/>
      <c r="Q33" s="1"/>
      <c r="X33" s="66"/>
      <c r="Y33" s="66"/>
      <c r="Z33" s="75">
        <f>IFERROR(IF('Calc Engine'!AF33="","",'Calc Engine'!AF33),"")</f>
        <v>0</v>
      </c>
    </row>
    <row r="34" spans="1:26">
      <c r="A34" s="132" t="s">
        <v>64</v>
      </c>
      <c r="B34" s="127"/>
      <c r="C34" s="127"/>
      <c r="D34" s="128" t="str">
        <f>'Calc Engine'!B47&amp;IF(Dashboard!B22="Auto from failure rate"," (Auto)"," (Engineer override)")</f>
        <v>Average (Auto)</v>
      </c>
      <c r="E34" s="118"/>
      <c r="F34" s="118"/>
      <c r="G34" s="118"/>
      <c r="H34" s="118"/>
      <c r="I34" s="1"/>
      <c r="J34" s="1"/>
      <c r="K34" s="1"/>
      <c r="L34" s="1"/>
      <c r="M34" s="1"/>
      <c r="N34" s="1"/>
      <c r="O34" s="1"/>
      <c r="P34" s="1"/>
      <c r="Q34" s="1"/>
      <c r="X34" s="66"/>
      <c r="Y34" s="66"/>
      <c r="Z34" s="75">
        <f>IFERROR(IF('Calc Engine'!AF34="","",'Calc Engine'!AF34),"")</f>
        <v>0</v>
      </c>
    </row>
    <row r="35" spans="1:26">
      <c r="A35" s="129" t="s">
        <v>65</v>
      </c>
      <c r="B35" s="127"/>
      <c r="C35" s="127"/>
      <c r="D35" s="131">
        <f>IF('Calc Engine'!I2&lt;&gt;"Metallic","—",IF($B$2="Metric",'Calc Engine'!B27,'Calc Engine'!B27/25.4))</f>
        <v>0.8438730219483469</v>
      </c>
      <c r="E35" s="118"/>
      <c r="F35" s="118"/>
      <c r="G35" s="118"/>
      <c r="H35" s="118"/>
      <c r="I35" s="1"/>
      <c r="J35" s="1"/>
      <c r="K35" s="1"/>
      <c r="L35" s="1"/>
      <c r="M35" s="1"/>
      <c r="N35" s="1"/>
      <c r="O35" s="1"/>
      <c r="P35" s="1"/>
      <c r="Q35" s="1"/>
      <c r="X35" s="66"/>
      <c r="Y35" s="66"/>
      <c r="Z35" s="75">
        <f>IFERROR(IF('Calc Engine'!AF35="","",'Calc Engine'!AF35),"")</f>
        <v>0</v>
      </c>
    </row>
    <row r="36" spans="1:26">
      <c r="A36" s="129" t="s">
        <v>66</v>
      </c>
      <c r="B36" s="127"/>
      <c r="C36" s="127"/>
      <c r="D36" s="131">
        <f>IF('Calc Engine'!I2&lt;&gt;"Metallic","—",IF($B$2="Metric",'Calc Engine'!B29,'Calc Engine'!B29/25.4))</f>
        <v>0.8438730219483469</v>
      </c>
      <c r="E36" s="118"/>
      <c r="F36" s="118"/>
      <c r="G36" s="118"/>
      <c r="H36" s="118"/>
      <c r="I36" s="1"/>
      <c r="J36" s="1"/>
      <c r="K36" s="1"/>
      <c r="L36" s="1"/>
      <c r="M36" s="1"/>
      <c r="N36" s="1"/>
      <c r="O36" s="1"/>
      <c r="P36" s="1"/>
      <c r="Q36" s="1"/>
      <c r="X36" s="66"/>
      <c r="Y36" s="66"/>
      <c r="Z36" s="75">
        <f>IFERROR(IF('Calc Engine'!AF36="","",'Calc Engine'!AF36),"")</f>
        <v>0</v>
      </c>
    </row>
    <row r="37" spans="1:26">
      <c r="A37" s="126" t="s">
        <v>67</v>
      </c>
      <c r="B37" s="127"/>
      <c r="C37" s="127"/>
      <c r="D37" s="131">
        <f>IF('Calc Engine'!I2&lt;&gt;"Metallic","—",IF(AND('Calc Engine'!B7&lt;=0,'Calc Engine'!B78&lt;&gt;"YES",'Calc Engine'!B101&lt;&gt;"OK"),"",IF($B$2="Metric",'Calc Engine'!B18,'Calc Engine'!B18/25.4)))</f>
        <v>9.7294999999999998</v>
      </c>
      <c r="E37" s="118"/>
      <c r="F37" s="118"/>
      <c r="G37" s="118"/>
      <c r="H37" s="118"/>
      <c r="I37" s="1"/>
      <c r="J37" s="1"/>
      <c r="K37" s="1"/>
      <c r="L37" s="1"/>
      <c r="M37" s="1"/>
      <c r="N37" s="1"/>
      <c r="O37" s="1"/>
      <c r="P37" s="1"/>
      <c r="Q37" s="1"/>
      <c r="X37" s="66"/>
      <c r="Y37" s="66"/>
      <c r="Z37" s="75">
        <f>IFERROR(IF('Calc Engine'!AF37="","",'Calc Engine'!AF37),"")</f>
        <v>0</v>
      </c>
    </row>
    <row r="38" spans="1:26">
      <c r="A38" s="126" t="s">
        <v>68</v>
      </c>
      <c r="B38" s="127"/>
      <c r="C38" s="127"/>
      <c r="D38" s="140">
        <f>IF('Calc Engine'!I2="Metallic",'Calc Engine'!B24,'Calc Engine'!I11)</f>
        <v>0.72914814385150806</v>
      </c>
      <c r="E38" s="118"/>
      <c r="F38" s="118"/>
      <c r="G38" s="118"/>
      <c r="H38" s="118"/>
      <c r="I38" s="1"/>
      <c r="J38" s="1"/>
      <c r="K38" s="1"/>
      <c r="L38" s="1"/>
      <c r="M38" s="1"/>
      <c r="N38" s="1"/>
      <c r="O38" s="1"/>
      <c r="P38" s="1"/>
      <c r="Q38" s="1"/>
      <c r="X38" s="66"/>
      <c r="Y38" s="66"/>
      <c r="Z38" s="75">
        <f>IFERROR(IF('Calc Engine'!AF38="","",'Calc Engine'!AF38),"")</f>
        <v>0</v>
      </c>
    </row>
    <row r="39" spans="1:26">
      <c r="A39" s="129" t="s">
        <v>69</v>
      </c>
      <c r="B39" s="127"/>
      <c r="C39" s="127"/>
      <c r="D39" s="138" t="str">
        <f>IF('Calc Engine'!$B$143="INVALID","NOT ASSESSED",IF(OR(AND(IF('Calc Engine'!B110="BELOW REQUIREMENT","RED",IF('Calc Engine'!B98="RED","RED",IF('Calc Engine'!B98="AMBER","AMBER","GREEN")))="RED",Dashboard!B16&gt;=4),AND(IF('Calc Engine'!B110="BELOW REQUIREMENT","RED",IF('Calc Engine'!B98="RED","RED",IF('Calc Engine'!B98="AMBER","AMBER","GREEN")))="RED",'Calc Engine'!B47="Severe")),"VERY HIGH",IF(OR(IF('Calc Engine'!B110="BELOW REQUIREMENT","RED",IF('Calc Engine'!B98="RED","RED",IF('Calc Engine'!B98="AMBER","AMBER","GREEN")))="RED",AND(IF('Calc Engine'!B110="BELOW REQUIREMENT","RED",IF('Calc Engine'!B98="RED","RED",IF('Calc Engine'!B98="AMBER","AMBER","GREEN")))="AMBER",Dashboard!B16&gt;=4),AND('Calc Engine'!B47="Severe",Dashboard!B16&gt;=4),AND(IF('Calc Engine'!B110="BELOW REQUIREMENT","RED",IF('Calc Engine'!B98="RED","RED",IF('Calc Engine'!B98="AMBER","AMBER","GREEN")))="GREEN",Dashboard!B16=5)),"HIGH",IF(OR(IF('Calc Engine'!B110="BELOW REQUIREMENT","RED",IF('Calc Engine'!B98="RED","RED",IF('Calc Engine'!B98="AMBER","AMBER","GREEN")))="AMBER",AND(IF('Calc Engine'!B110="BELOW REQUIREMENT","RED",IF('Calc Engine'!B98="RED","RED",IF('Calc Engine'!B98="AMBER","AMBER","GREEN")))="GREEN",Dashboard!B16=4),'Calc Engine'!B47="Average",Dashboard!B16=3),"MEDIUM","LOW"))))</f>
        <v>MEDIUM</v>
      </c>
      <c r="E39" s="118"/>
      <c r="F39" s="118"/>
      <c r="G39" s="118"/>
      <c r="H39" s="118"/>
      <c r="I39" s="1"/>
      <c r="J39" s="1"/>
      <c r="K39" s="1"/>
      <c r="L39" s="1"/>
      <c r="M39" s="1"/>
      <c r="N39" s="1"/>
      <c r="O39" s="1"/>
      <c r="P39" s="1"/>
      <c r="Q39" s="1"/>
      <c r="X39" s="66"/>
      <c r="Y39" s="66"/>
      <c r="Z39" s="75">
        <f>IFERROR(IF('Calc Engine'!AF39="","",'Calc Engine'!AF39),"")</f>
        <v>0</v>
      </c>
    </row>
    <row r="40" spans="1:26">
      <c r="A40" s="129" t="s">
        <v>70</v>
      </c>
      <c r="B40" s="127"/>
      <c r="C40" s="127"/>
      <c r="D40" s="130" t="str">
        <f>IF($D$39="NOT ASSESSED",'Calc Engine'!$P$17,IF('Calc Engine'!$I$2&lt;&gt;"Metallic",IF($D$39="VERY HIGH",'Calc Engine'!$P$18,IF($D$39="HIGH",'Calc Engine'!$P$19,IF($D$39="MEDIUM",'Calc Engine'!$P$20,'Calc Engine'!$P$21))),IF($D$39="VERY HIGH",'Calc Engine'!$P$22,IF($D$39="HIGH",'Calc Engine'!$P$23,IF($D$39="MEDIUM",'Calc Engine'!$P$24,'Calc Engine'!$P$25)))))</f>
        <v>MEDIUM PRIORITY — PROGRAMMED CONDITION ASSESSMENT: Confirm deterioration evidence, maintain monitoring and define the rehabilitation strategy and timing within the asset-management programme.</v>
      </c>
      <c r="E40" s="118"/>
      <c r="F40" s="118"/>
      <c r="G40" s="118"/>
      <c r="H40" s="118"/>
      <c r="I40" s="1"/>
      <c r="J40" s="1"/>
      <c r="K40" s="1"/>
      <c r="L40" s="1"/>
      <c r="M40" s="1"/>
      <c r="N40" s="1"/>
      <c r="O40" s="1"/>
      <c r="P40" s="1"/>
      <c r="Q40" s="1"/>
      <c r="X40" s="66"/>
      <c r="Y40" s="66"/>
      <c r="Z40" s="75">
        <f>IFERROR(IF('Calc Engine'!AF40="","",'Calc Engine'!AF40),"")</f>
        <v>0</v>
      </c>
    </row>
    <row r="41" spans="1:26">
      <c r="A41" s="126" t="s">
        <v>71</v>
      </c>
      <c r="B41" s="127"/>
      <c r="C41" s="127"/>
      <c r="D41" s="137">
        <f>IF('Calc Engine'!I2="Metallic",'Calc Engine'!L2,'Calc Engine'!I3)</f>
        <v>75</v>
      </c>
      <c r="E41" s="118"/>
      <c r="F41" s="118"/>
      <c r="G41" s="118"/>
      <c r="H41" s="118"/>
      <c r="I41" s="1"/>
      <c r="J41" s="1"/>
      <c r="K41" s="1"/>
      <c r="L41" s="1"/>
      <c r="M41" s="1"/>
      <c r="N41" s="1"/>
      <c r="O41" s="1"/>
      <c r="P41" s="1"/>
      <c r="Q41" s="1"/>
    </row>
    <row r="42" spans="1:26">
      <c r="A42" s="126" t="s">
        <v>72</v>
      </c>
      <c r="B42" s="127"/>
      <c r="C42" s="127"/>
      <c r="D42" s="137">
        <f>IF('Calc Engine'!I2="Metallic",'Calc Engine'!L7,'Calc Engine'!B15)</f>
        <v>41</v>
      </c>
      <c r="E42" s="118"/>
      <c r="F42" s="118"/>
      <c r="G42" s="118"/>
      <c r="H42" s="118"/>
      <c r="I42" s="1"/>
      <c r="J42" s="1"/>
      <c r="K42" s="1"/>
      <c r="L42" s="1"/>
      <c r="M42" s="1"/>
      <c r="N42" s="1"/>
      <c r="O42" s="1"/>
      <c r="P42" s="1"/>
      <c r="Q42" s="1"/>
    </row>
    <row r="43" spans="1:26">
      <c r="A43" s="126" t="s">
        <v>73</v>
      </c>
      <c r="B43" s="127"/>
      <c r="C43" s="127"/>
      <c r="D43" s="137">
        <f>IF('Calc Engine'!I2="Metallic",'Calc Engine'!L8,MAX(0,'Calc Engine'!I3-'Calc Engine'!B15))</f>
        <v>34</v>
      </c>
      <c r="E43" s="118"/>
      <c r="F43" s="118"/>
      <c r="G43" s="118"/>
      <c r="H43" s="118"/>
      <c r="I43" s="1"/>
      <c r="J43" s="1"/>
      <c r="K43" s="1"/>
      <c r="L43" s="1"/>
      <c r="M43" s="1"/>
      <c r="N43" s="1"/>
      <c r="O43" s="1"/>
      <c r="P43" s="1"/>
      <c r="Q43" s="1"/>
    </row>
    <row r="44" spans="1:26">
      <c r="A44" s="129" t="s">
        <v>74</v>
      </c>
      <c r="B44" s="127"/>
      <c r="C44" s="127"/>
      <c r="D44" s="135">
        <f>IF('Calc Engine'!I2="Metallic",'Calc Engine'!L17,'Calc Engine'!I18)</f>
        <v>0.72914814385150806</v>
      </c>
      <c r="E44" s="118"/>
      <c r="F44" s="118"/>
      <c r="G44" s="118"/>
      <c r="H44" s="118"/>
      <c r="I44" s="1"/>
      <c r="J44" s="1"/>
      <c r="K44" s="1"/>
      <c r="L44" s="1"/>
      <c r="M44" s="1"/>
      <c r="N44" s="1"/>
      <c r="O44" s="1"/>
      <c r="P44" s="1"/>
      <c r="Q44" s="1"/>
    </row>
    <row r="45" spans="1:26">
      <c r="A45" s="126" t="s">
        <v>75</v>
      </c>
      <c r="B45" s="127"/>
      <c r="C45" s="127"/>
      <c r="D45" s="135">
        <f>IF('Calc Engine'!I2="Metallic",'Calc Engine'!L18,'Calc Engine'!I8)</f>
        <v>1</v>
      </c>
      <c r="E45" s="118"/>
      <c r="F45" s="118"/>
      <c r="G45" s="118"/>
      <c r="H45" s="118"/>
      <c r="I45" s="1"/>
      <c r="J45" s="1"/>
      <c r="K45" s="1"/>
      <c r="L45" s="1"/>
      <c r="M45" s="1"/>
      <c r="N45" s="1"/>
      <c r="O45" s="1"/>
      <c r="P45" s="1"/>
      <c r="Q45" s="1"/>
    </row>
    <row r="46" spans="1:26">
      <c r="A46" s="129" t="s">
        <v>76</v>
      </c>
      <c r="B46" s="127"/>
      <c r="C46" s="127"/>
      <c r="D46" s="135">
        <f>IF('Calc Engine'!I2="Metallic",'Calc Engine'!L9,'Calc Engine'!I9)</f>
        <v>1</v>
      </c>
      <c r="E46" s="118"/>
      <c r="F46" s="118"/>
      <c r="G46" s="118"/>
      <c r="H46" s="118"/>
      <c r="I46" s="1"/>
      <c r="J46" s="1"/>
      <c r="K46" s="1"/>
      <c r="L46" s="1"/>
      <c r="M46" s="1"/>
      <c r="N46" s="1"/>
      <c r="O46" s="1"/>
      <c r="P46" s="1"/>
      <c r="Q46" s="1"/>
    </row>
    <row r="47" spans="1:26">
      <c r="A47" s="126" t="s">
        <v>77</v>
      </c>
      <c r="B47" s="127"/>
      <c r="C47" s="127"/>
      <c r="D47" s="135">
        <f>IF('Calc Engine'!I2="Metallic",'Calc Engine'!L22,'Calc Engine'!I7)</f>
        <v>1</v>
      </c>
      <c r="E47" s="118"/>
      <c r="F47" s="118"/>
      <c r="G47" s="118"/>
      <c r="H47" s="118"/>
      <c r="I47" s="1"/>
      <c r="J47" s="1"/>
      <c r="K47" s="1"/>
      <c r="L47" s="1"/>
      <c r="M47" s="1"/>
      <c r="N47" s="1"/>
      <c r="O47" s="1"/>
      <c r="P47" s="1"/>
      <c r="Q47" s="1"/>
    </row>
    <row r="48" spans="1:26">
      <c r="A48" s="126" t="s">
        <v>78</v>
      </c>
      <c r="B48" s="127"/>
      <c r="C48" s="127"/>
      <c r="D48" s="135">
        <f>IF('Calc Engine'!I2="Metallic",'Calc Engine'!L30,'Calc Engine'!I19)</f>
        <v>0.9</v>
      </c>
      <c r="E48" s="118"/>
      <c r="F48" s="118"/>
      <c r="G48" s="118"/>
      <c r="H48" s="118"/>
      <c r="I48" s="1"/>
      <c r="J48" s="1"/>
      <c r="K48" s="1"/>
      <c r="L48" s="1"/>
      <c r="M48" s="1"/>
      <c r="N48" s="1"/>
      <c r="O48" s="1"/>
      <c r="P48" s="1"/>
      <c r="Q48" s="1"/>
    </row>
    <row r="49" spans="1:17">
      <c r="A49" s="126" t="s">
        <v>79</v>
      </c>
      <c r="B49" s="127"/>
      <c r="C49" s="127"/>
      <c r="D49" s="136">
        <f>IF('Calc Engine'!I2="Metallic",'Calc Engine'!L24,'Calc Engine'!I5)</f>
        <v>0.48376667053364275</v>
      </c>
      <c r="E49" s="118"/>
      <c r="F49" s="118"/>
      <c r="G49" s="118"/>
      <c r="H49" s="118"/>
      <c r="I49" s="1"/>
      <c r="J49" s="1"/>
      <c r="K49" s="1"/>
      <c r="L49" s="1"/>
      <c r="M49" s="1"/>
      <c r="N49" s="1"/>
      <c r="O49" s="1"/>
      <c r="P49" s="1"/>
      <c r="Q49" s="1"/>
    </row>
    <row r="50" spans="1:17">
      <c r="A50" s="126" t="s">
        <v>80</v>
      </c>
      <c r="B50" s="127"/>
      <c r="C50" s="127"/>
      <c r="D50" s="148" t="str">
        <f>'Calc Engine'!B80</f>
        <v>ENGINEERING BEST-PRACTICE ASSESSMENT</v>
      </c>
      <c r="E50" s="118"/>
      <c r="F50" s="118"/>
      <c r="G50" s="118"/>
      <c r="H50" s="118"/>
      <c r="I50" s="1"/>
      <c r="J50" s="1"/>
      <c r="K50" s="1"/>
      <c r="L50" s="1"/>
      <c r="M50" s="1"/>
      <c r="N50" s="1"/>
      <c r="O50" s="1"/>
      <c r="P50" s="1"/>
      <c r="Q50" s="1"/>
    </row>
    <row r="51" spans="1:17" ht="33.75" customHeight="1">
      <c r="A51" s="53" t="s">
        <v>81</v>
      </c>
      <c r="B51" s="54"/>
      <c r="C51" s="54" t="s">
        <v>82</v>
      </c>
      <c r="D51" s="93" t="str">
        <f>IF('Calc Engine'!$B$129&lt;&gt;"Measured Acoustic Velocity","—",IF('Calc Engine'!B53&lt;=0,"NO CALIBRATED REFERENCE",TEXT('Calc Engine'!B53,"0.000")&amp;" to "&amp;TEXT('Calc Engine'!B54,"0.000")&amp;" m/ms"))</f>
        <v>—</v>
      </c>
      <c r="E51" s="55"/>
      <c r="F51" s="55"/>
      <c r="G51" s="55"/>
      <c r="H51" s="55"/>
      <c r="I51" s="1"/>
      <c r="J51" s="1"/>
      <c r="K51" s="1"/>
      <c r="L51" s="1"/>
      <c r="M51" s="1"/>
      <c r="N51" s="1"/>
      <c r="O51" s="1"/>
      <c r="P51" s="1"/>
      <c r="Q51" s="1"/>
    </row>
    <row r="52" spans="1:17" ht="25.5" customHeight="1">
      <c r="A52" s="56" t="s">
        <v>83</v>
      </c>
      <c r="B52" s="53"/>
      <c r="C52" s="53"/>
      <c r="D52" s="94" t="str">
        <f>IF('Calc Engine'!$B$129="Measured Acoustic Velocity",'Calc Engine'!B57,"—")</f>
        <v>—</v>
      </c>
      <c r="E52" s="57"/>
      <c r="F52" s="57"/>
      <c r="G52" s="57"/>
      <c r="H52" s="57"/>
      <c r="I52" s="1"/>
      <c r="J52" s="1"/>
      <c r="K52" s="1"/>
      <c r="L52" s="1"/>
      <c r="M52" s="1"/>
      <c r="N52" s="1"/>
      <c r="O52" s="1"/>
      <c r="P52" s="1"/>
      <c r="Q52" s="1"/>
    </row>
    <row r="53" spans="1:17" ht="75" customHeight="1">
      <c r="A53" s="56" t="s">
        <v>84</v>
      </c>
      <c r="B53" s="53"/>
      <c r="C53" s="53" t="s">
        <v>85</v>
      </c>
      <c r="D53" s="95" t="str">
        <f>IF('Calc Engine'!$B$129="Measured Acoustic Velocity",'Calc Engine'!B58,"NOT ACTIVE")</f>
        <v>NOT ACTIVE</v>
      </c>
      <c r="E53" s="58"/>
      <c r="F53" s="58"/>
      <c r="G53" s="58"/>
      <c r="H53" s="58"/>
      <c r="I53" s="1"/>
      <c r="J53" s="1"/>
      <c r="K53" s="1"/>
      <c r="L53" s="1"/>
      <c r="M53" s="1"/>
      <c r="N53" s="1"/>
      <c r="O53" s="1"/>
      <c r="P53" s="1"/>
      <c r="Q53" s="1"/>
    </row>
    <row r="54" spans="1:17" ht="15">
      <c r="A54" s="56" t="s">
        <v>86</v>
      </c>
      <c r="B54" s="53"/>
      <c r="C54" s="53"/>
      <c r="D54" s="96" t="str">
        <f>IF('Calc Engine'!$B$129&lt;&gt;"Measured Acoustic Velocity","—",IF('Calc Engine'!B60="","NO EXACT EMBEDDED REFERENCE",'Calc Engine'!B61&amp;" | "&amp;TEXT('Calc Engine'!B63,"0")&amp;" mm | "&amp;'Calc Engine'!B62&amp;" | "&amp;TEXT('Calc Engine'!B64,"0.000")&amp;" m/ms"))</f>
        <v>—</v>
      </c>
      <c r="E54" s="59"/>
      <c r="F54" s="59"/>
      <c r="G54" s="59"/>
      <c r="H54" s="59"/>
      <c r="I54" s="1"/>
      <c r="J54" s="1"/>
      <c r="K54" s="1"/>
      <c r="L54" s="1"/>
      <c r="M54" s="1"/>
      <c r="N54" s="1"/>
      <c r="O54" s="1"/>
      <c r="P54" s="1"/>
      <c r="Q54" s="1"/>
    </row>
    <row r="55" spans="1:17" ht="15">
      <c r="A55" s="56" t="s">
        <v>87</v>
      </c>
      <c r="B55" s="53"/>
      <c r="C55" s="53"/>
      <c r="D55" s="97" t="str">
        <f>IF('Calc Engine'!$B$129&lt;&gt;"Measured Acoustic Velocity","—",IF('Calc Engine'!B67="","NO SAME-MATERIAL REFERENCE",Dashboard!B8&amp;" | "&amp;TEXT(IF($B$2="Metric",'Calc Engine'!B69,'Calc Engine'!B69/25.4),IF($B$2="Metric","0","0.000"))&amp;IF($B$2="Metric"," mm"," in")&amp;" | "&amp;'Calc Engine'!B68&amp;" | "&amp;TEXT('Calc Engine'!B70,"0.000")&amp;" m/ms"))</f>
        <v>—</v>
      </c>
      <c r="E55" s="60"/>
      <c r="F55" s="60"/>
      <c r="G55" s="60"/>
      <c r="H55" s="60"/>
      <c r="I55" s="1"/>
      <c r="J55" s="1"/>
      <c r="K55" s="1"/>
      <c r="L55" s="1"/>
      <c r="M55" s="1"/>
      <c r="N55" s="1"/>
      <c r="O55" s="1"/>
      <c r="P55" s="1"/>
      <c r="Q55" s="1"/>
    </row>
    <row r="56" spans="1:17" ht="15">
      <c r="A56" s="56" t="s">
        <v>88</v>
      </c>
      <c r="B56" s="53"/>
      <c r="C56" s="53"/>
      <c r="D56" s="96" t="str">
        <f>'Calc Engine'!B80</f>
        <v>ENGINEERING BEST-PRACTICE ASSESSMENT</v>
      </c>
      <c r="E56" s="60"/>
      <c r="F56" s="60"/>
      <c r="G56" s="60"/>
      <c r="H56" s="60"/>
      <c r="I56" s="1"/>
      <c r="J56" s="1"/>
      <c r="K56" s="1"/>
      <c r="L56" s="1"/>
      <c r="M56" s="1"/>
      <c r="N56" s="1"/>
      <c r="O56" s="1"/>
      <c r="P56" s="1"/>
      <c r="Q56" s="1"/>
    </row>
    <row r="57" spans="1:17" ht="15">
      <c r="A57" s="56" t="s">
        <v>89</v>
      </c>
      <c r="B57" s="53"/>
      <c r="C57" s="98" t="str">
        <f>IF($B$2="Metric","mm","inches")</f>
        <v>mm</v>
      </c>
      <c r="D57" s="99" t="str">
        <f>IF('Calc Engine'!$B$129&lt;&gt;"Measured Acoustic Velocity","—",IF('Calc Engine'!B76="","NO CALIBRATED RESULT",IF($B$2="Metric",'Calc Engine'!B76,'Calc Engine'!B76/25.4)))</f>
        <v>—</v>
      </c>
      <c r="E57" s="61"/>
      <c r="F57" s="61"/>
      <c r="G57" s="61"/>
      <c r="H57" s="61"/>
      <c r="I57" s="1"/>
      <c r="J57" s="1"/>
      <c r="K57" s="1"/>
      <c r="L57" s="1"/>
      <c r="M57" s="1"/>
      <c r="N57" s="1"/>
      <c r="O57" s="1"/>
      <c r="P57" s="1"/>
      <c r="Q57" s="1"/>
    </row>
    <row r="58" spans="1:17" ht="81.95" customHeight="1">
      <c r="A58" s="56" t="s">
        <v>90</v>
      </c>
      <c r="B58" s="134"/>
      <c r="C58" s="127"/>
      <c r="D58" s="96" t="str">
        <f>IF('Calc Engine'!$B$129="Measured Acoustic Velocity",'Calc Engine'!B81,"Acoustic diagnostics are not active for the selected method.")</f>
        <v>Acoustic diagnostics are not active for the selected method.</v>
      </c>
      <c r="E58" s="59"/>
      <c r="F58" s="59"/>
      <c r="G58" s="59"/>
      <c r="H58" s="59"/>
      <c r="I58" s="1"/>
      <c r="J58" s="1"/>
      <c r="K58" s="1"/>
      <c r="L58" s="1"/>
      <c r="M58" s="1"/>
      <c r="N58" s="1"/>
      <c r="O58" s="1"/>
      <c r="P58" s="1"/>
      <c r="Q58" s="1"/>
    </row>
    <row r="59" spans="1:17" ht="15">
      <c r="A59" s="56" t="s">
        <v>91</v>
      </c>
      <c r="B59" s="56"/>
      <c r="C59" s="56"/>
      <c r="D59" s="96" t="str">
        <f>'Calc Engine'!B82</f>
        <v>ENGINEERING BEST-PRACTICE ASSESSMENT</v>
      </c>
      <c r="E59" s="59"/>
      <c r="F59" s="59"/>
      <c r="G59" s="59"/>
      <c r="H59" s="59"/>
      <c r="I59" s="1"/>
      <c r="J59" s="1"/>
      <c r="K59" s="1"/>
      <c r="L59" s="1"/>
      <c r="M59" s="1"/>
      <c r="N59" s="1"/>
      <c r="O59" s="1"/>
      <c r="P59" s="1"/>
      <c r="Q59" s="1"/>
    </row>
    <row r="60" spans="1:17" ht="27.4" customHeight="1">
      <c r="A60" s="56" t="s">
        <v>92</v>
      </c>
      <c r="B60" s="56"/>
      <c r="C60" s="56"/>
      <c r="D60" s="96" t="str">
        <f>'Calc Engine'!B84</f>
        <v>CALCULATED CONDITION — no direct condition measurement</v>
      </c>
      <c r="E60" s="59"/>
      <c r="F60" s="59"/>
      <c r="G60" s="59"/>
      <c r="H60" s="59"/>
      <c r="I60" s="1"/>
      <c r="J60" s="1"/>
      <c r="K60" s="1"/>
      <c r="L60" s="1"/>
      <c r="M60" s="1"/>
      <c r="N60" s="1"/>
      <c r="O60" s="1"/>
      <c r="P60" s="1"/>
      <c r="Q60" s="1"/>
    </row>
    <row r="61" spans="1:17" ht="15">
      <c r="A61" s="56" t="s">
        <v>93</v>
      </c>
      <c r="B61" s="56"/>
      <c r="C61" s="56"/>
      <c r="D61" s="96" t="str">
        <f>'Calc Engine'!B85</f>
        <v>LOW-MEDIUM calculated engineering assessment</v>
      </c>
      <c r="E61" s="59"/>
      <c r="F61" s="59"/>
      <c r="G61" s="59"/>
      <c r="H61" s="59"/>
      <c r="I61" s="1"/>
      <c r="J61" s="1"/>
      <c r="K61" s="1"/>
      <c r="L61" s="1"/>
      <c r="M61" s="1"/>
      <c r="N61" s="1"/>
      <c r="O61" s="1"/>
      <c r="P61" s="1"/>
      <c r="Q61" s="1"/>
    </row>
    <row r="62" spans="1:17" ht="15">
      <c r="A62" s="56" t="s">
        <v>94</v>
      </c>
      <c r="B62" s="56"/>
      <c r="C62" s="56"/>
      <c r="D62" s="95" t="str">
        <f>IF('Calc Engine'!$B$129&lt;&gt;"Direct Wall Thickness / NDT","—",IF('Calc Engine'!B86="","NO ORIGINAL-WALL REFERENCE — ACTUAL WALL USED",'Calc Engine'!B86))</f>
        <v>—</v>
      </c>
      <c r="E62" s="58"/>
      <c r="F62" s="58"/>
      <c r="G62" s="58"/>
      <c r="H62" s="58"/>
      <c r="I62" s="1"/>
      <c r="J62" s="1"/>
      <c r="K62" s="1"/>
      <c r="L62" s="1"/>
      <c r="M62" s="1"/>
      <c r="N62" s="1"/>
      <c r="O62" s="1"/>
      <c r="P62" s="1"/>
      <c r="Q62" s="1"/>
    </row>
    <row r="63" spans="1:17" ht="15">
      <c r="A63" s="56" t="s">
        <v>95</v>
      </c>
      <c r="B63" s="56"/>
      <c r="C63" s="56"/>
      <c r="D63" s="95" t="str">
        <f>IF('Calc Engine'!$B$129&lt;&gt;"Direct Wall Thickness / NDT","—",IF('Calc Engine'!B87="","NO ORIGINAL-WALL REFERENCE — ACTUAL WALL USED",'Calc Engine'!B87))</f>
        <v>—</v>
      </c>
      <c r="E63" s="58"/>
      <c r="F63" s="58"/>
      <c r="G63" s="58"/>
      <c r="H63" s="58"/>
      <c r="I63" s="1"/>
      <c r="J63" s="1"/>
      <c r="K63" s="1"/>
      <c r="L63" s="1"/>
      <c r="M63" s="1"/>
      <c r="N63" s="1"/>
      <c r="O63" s="1"/>
      <c r="P63" s="1"/>
      <c r="Q63" s="1"/>
    </row>
    <row r="64" spans="1:17" ht="15">
      <c r="A64" s="56" t="s">
        <v>96</v>
      </c>
      <c r="B64" s="56"/>
      <c r="C64" s="56"/>
      <c r="D64" s="96" t="str">
        <f>'Calc Engine'!B88</f>
        <v>NOT ACTIVE</v>
      </c>
      <c r="E64" s="59"/>
      <c r="F64" s="59"/>
      <c r="G64" s="59"/>
      <c r="H64" s="59"/>
      <c r="I64" s="1"/>
      <c r="J64" s="1"/>
      <c r="K64" s="1"/>
      <c r="L64" s="1"/>
      <c r="M64" s="1"/>
      <c r="N64" s="1"/>
      <c r="O64" s="1"/>
      <c r="P64" s="1"/>
      <c r="Q64" s="1"/>
    </row>
    <row r="65" spans="1:17" ht="15">
      <c r="A65" s="56" t="s">
        <v>97</v>
      </c>
      <c r="B65" s="56"/>
      <c r="C65" s="56"/>
      <c r="D65" s="96" t="str">
        <f>'Calc Engine'!B89</f>
        <v>Direct wall is not the selected assessment method.</v>
      </c>
      <c r="E65" s="59"/>
      <c r="F65" s="59"/>
      <c r="G65" s="59"/>
      <c r="H65" s="59"/>
      <c r="I65" s="1"/>
      <c r="J65" s="1"/>
      <c r="K65" s="1"/>
      <c r="L65" s="1"/>
      <c r="M65" s="1"/>
      <c r="N65" s="1"/>
      <c r="O65" s="1"/>
      <c r="P65" s="1"/>
      <c r="Q65" s="1"/>
    </row>
    <row r="66" spans="1:17" ht="15">
      <c r="A66" s="56" t="s">
        <v>98</v>
      </c>
      <c r="B66" s="56"/>
      <c r="C66" s="56"/>
      <c r="D66" s="95" t="str">
        <f>IF('Calc Engine'!$B$129&lt;&gt;"Direct Wall Thickness / NDT","—",IF('Calc Engine'!B92="","NO ORIGINAL-WALL REFERENCE — ACTUAL WALL USED",'Calc Engine'!B92))</f>
        <v>—</v>
      </c>
      <c r="E66" s="58"/>
      <c r="F66" s="58"/>
      <c r="G66" s="58"/>
      <c r="H66" s="58"/>
      <c r="I66" s="1"/>
      <c r="J66" s="1"/>
      <c r="K66" s="1"/>
      <c r="L66" s="1"/>
      <c r="M66" s="1"/>
      <c r="N66" s="1"/>
      <c r="O66" s="1"/>
      <c r="P66" s="1"/>
      <c r="Q66" s="1"/>
    </row>
    <row r="67" spans="1:17" ht="15">
      <c r="A67" s="56" t="s">
        <v>99</v>
      </c>
      <c r="B67" s="56"/>
      <c r="C67" s="56"/>
      <c r="D67" s="96" t="str">
        <f>'Calc Engine'!B93</f>
        <v>NOT ACTIVE</v>
      </c>
      <c r="E67" s="59"/>
      <c r="F67" s="59"/>
      <c r="G67" s="59"/>
      <c r="H67" s="59"/>
      <c r="I67" s="1"/>
      <c r="J67" s="1"/>
      <c r="K67" s="1"/>
      <c r="L67" s="1"/>
      <c r="M67" s="1"/>
      <c r="N67" s="1"/>
      <c r="O67" s="1"/>
      <c r="P67" s="1"/>
      <c r="Q67" s="1"/>
    </row>
    <row r="68" spans="1:17" ht="38.25" customHeight="1">
      <c r="A68" s="56" t="s">
        <v>100</v>
      </c>
      <c r="B68" s="56"/>
      <c r="C68" s="56" t="s">
        <v>101</v>
      </c>
      <c r="D68" s="100" t="str">
        <f>IF('Calc Engine'!$B$129&lt;&gt;"Direct Wall Thickness / NDT","—",IF('Calc Engine'!B95="","REFERENCE PERCENTAGE NOT AVAILABLE — ACTUAL WALL LIFE USED",'Calc Engine'!B95))</f>
        <v>—</v>
      </c>
      <c r="E68" s="62"/>
      <c r="F68" s="62"/>
      <c r="G68" s="62"/>
      <c r="H68" s="62"/>
      <c r="I68" s="1"/>
      <c r="J68" s="1"/>
      <c r="K68" s="1"/>
      <c r="L68" s="1"/>
      <c r="M68" s="1"/>
      <c r="N68" s="1"/>
      <c r="O68" s="1"/>
      <c r="P68" s="1"/>
      <c r="Q68" s="1"/>
    </row>
    <row r="69" spans="1:17" ht="15">
      <c r="A69" s="56" t="s">
        <v>102</v>
      </c>
      <c r="B69" s="56"/>
      <c r="C69" s="56"/>
      <c r="D69" s="96" t="str">
        <f>IF('Calc Engine'!$B$129="Direct Wall Thickness / NDT",'Calc Engine'!B96,"NOT ACTIVE")</f>
        <v>NOT ACTIVE</v>
      </c>
      <c r="E69" s="59"/>
      <c r="F69" s="59"/>
      <c r="G69" s="59"/>
      <c r="H69" s="59"/>
      <c r="I69" s="1"/>
      <c r="J69" s="1"/>
      <c r="K69" s="1"/>
      <c r="L69" s="1"/>
      <c r="M69" s="1"/>
      <c r="N69" s="1"/>
      <c r="O69" s="1"/>
      <c r="P69" s="1"/>
      <c r="Q69" s="1"/>
    </row>
    <row r="70" spans="1:17" ht="15">
      <c r="A70" s="56" t="s">
        <v>103</v>
      </c>
      <c r="B70" s="56"/>
      <c r="C70" s="56"/>
      <c r="D70" s="96" t="str">
        <f>'Calc Engine'!B94</f>
        <v>Direct wall is not the selected assessment method.</v>
      </c>
      <c r="E70" s="59"/>
      <c r="F70" s="59"/>
      <c r="G70" s="59"/>
      <c r="H70" s="59"/>
      <c r="I70" s="1"/>
      <c r="J70" s="1"/>
      <c r="K70" s="1"/>
      <c r="L70" s="1"/>
      <c r="M70" s="1"/>
      <c r="N70" s="1"/>
      <c r="O70" s="1"/>
      <c r="P70" s="1"/>
      <c r="Q70" s="1"/>
    </row>
  </sheetData>
  <sheetProtection password="FE3F" sheet="1" objects="1" scenarios="1" formatRows="0"/>
  <mergeCells count="56">
    <mergeCell ref="A1:G1"/>
    <mergeCell ref="A44:C44"/>
    <mergeCell ref="D47:H47"/>
    <mergeCell ref="D43:H43"/>
    <mergeCell ref="D6:G6"/>
    <mergeCell ref="A31:C31"/>
    <mergeCell ref="A40:C40"/>
    <mergeCell ref="D12:G15"/>
    <mergeCell ref="D37:H37"/>
    <mergeCell ref="A30:C30"/>
    <mergeCell ref="A39:C39"/>
    <mergeCell ref="A34:C34"/>
    <mergeCell ref="D2:G2"/>
    <mergeCell ref="D17:G19"/>
    <mergeCell ref="D30:H30"/>
    <mergeCell ref="A36:C36"/>
    <mergeCell ref="D20:G24"/>
    <mergeCell ref="D7:G10"/>
    <mergeCell ref="A29:C29"/>
    <mergeCell ref="A35:C35"/>
    <mergeCell ref="D25:G25"/>
    <mergeCell ref="D3:G5"/>
    <mergeCell ref="D28:G28"/>
    <mergeCell ref="A50:C50"/>
    <mergeCell ref="A38:C38"/>
    <mergeCell ref="A28:C28"/>
    <mergeCell ref="D31:G31"/>
    <mergeCell ref="D33:H33"/>
    <mergeCell ref="D29:H29"/>
    <mergeCell ref="D38:H38"/>
    <mergeCell ref="D50:H50"/>
    <mergeCell ref="D44:H44"/>
    <mergeCell ref="A32:C32"/>
    <mergeCell ref="D32:H32"/>
    <mergeCell ref="D35:H35"/>
    <mergeCell ref="B58:C58"/>
    <mergeCell ref="D45:H45"/>
    <mergeCell ref="A42:C42"/>
    <mergeCell ref="A33:C33"/>
    <mergeCell ref="A47:C47"/>
    <mergeCell ref="D49:H49"/>
    <mergeCell ref="D41:H41"/>
    <mergeCell ref="A43:C43"/>
    <mergeCell ref="D48:H48"/>
    <mergeCell ref="A48:C48"/>
    <mergeCell ref="D39:H39"/>
    <mergeCell ref="A49:C49"/>
    <mergeCell ref="A45:C45"/>
    <mergeCell ref="A41:C41"/>
    <mergeCell ref="D34:H34"/>
    <mergeCell ref="A37:C37"/>
    <mergeCell ref="A46:C46"/>
    <mergeCell ref="D40:H40"/>
    <mergeCell ref="D36:H36"/>
    <mergeCell ref="D42:H42"/>
    <mergeCell ref="D46:H46"/>
  </mergeCells>
  <conditionalFormatting sqref="A32:H33 A34:D34">
    <cfRule type="expression" dxfId="39" priority="9">
      <formula>$B$11=0</formula>
    </cfRule>
  </conditionalFormatting>
  <conditionalFormatting sqref="D9">
    <cfRule type="expression" dxfId="38" priority="34">
      <formula>$D$39="VERY HIGH"</formula>
    </cfRule>
    <cfRule type="expression" dxfId="37" priority="35">
      <formula>$D$39="HIGH"</formula>
    </cfRule>
    <cfRule type="expression" dxfId="36" priority="36">
      <formula>$D$39="MEDIUM"</formula>
    </cfRule>
    <cfRule type="expression" dxfId="35" priority="37">
      <formula>$D$39="LOW"</formula>
    </cfRule>
  </conditionalFormatting>
  <conditionalFormatting sqref="D12">
    <cfRule type="expression" dxfId="34" priority="69">
      <formula>ISNUMBER(SEARCH("NOT ASSESSED",$D$12))</formula>
    </cfRule>
    <cfRule type="expression" dxfId="33" priority="68">
      <formula>ISNUMBER(SEARCH("GREEN",$D$12))</formula>
    </cfRule>
    <cfRule type="expression" dxfId="32" priority="67">
      <formula>ISNUMBER(SEARCH("AMBER",$D$12))</formula>
    </cfRule>
    <cfRule type="expression" dxfId="31" priority="66">
      <formula>ISNUMBER(SEARCH("RED",$D$12))</formula>
    </cfRule>
  </conditionalFormatting>
  <conditionalFormatting sqref="D26">
    <cfRule type="expression" dxfId="30" priority="13">
      <formula>ISNUMBER(SEARCH("meets",D26))</formula>
    </cfRule>
    <cfRule type="expression" dxfId="29" priority="14">
      <formula>ISNUMBER(SEARCH("WARNING",D26))</formula>
    </cfRule>
  </conditionalFormatting>
  <conditionalFormatting sqref="D27">
    <cfRule type="expression" dxfId="28" priority="20">
      <formula>ISNUMBER(SEARCH("NOT operationally acceptable",D27))</formula>
    </cfRule>
    <cfRule type="expression" dxfId="27" priority="21">
      <formula>AND(ISNUMBER(SEARCH("operationally acceptable",D27)),NOT(ISNUMBER(SEARCH("NOT operationally acceptable",D27))))</formula>
    </cfRule>
  </conditionalFormatting>
  <conditionalFormatting sqref="D39">
    <cfRule type="expression" dxfId="26" priority="51">
      <formula>D39="NOT ASSESSED"</formula>
    </cfRule>
    <cfRule type="expression" dxfId="25" priority="52">
      <formula>D39="VERY HIGH"</formula>
    </cfRule>
    <cfRule type="expression" dxfId="24" priority="53">
      <formula>D39="HIGH"</formula>
    </cfRule>
    <cfRule type="expression" dxfId="23" priority="54">
      <formula>D39="MEDIUM"</formula>
    </cfRule>
    <cfRule type="expression" dxfId="22" priority="55">
      <formula>D39="LOW"</formula>
    </cfRule>
  </conditionalFormatting>
  <conditionalFormatting sqref="D40">
    <cfRule type="expression" dxfId="21" priority="56">
      <formula>LEFT(D40,12)="NOT ASSESSED"</formula>
    </cfRule>
    <cfRule type="expression" dxfId="20" priority="57">
      <formula>LEFT(D40,9)="VERY HIGH"</formula>
    </cfRule>
    <cfRule type="expression" dxfId="19" priority="58">
      <formula>LEFT(D40,4)="HIGH"</formula>
    </cfRule>
    <cfRule type="expression" dxfId="18" priority="59">
      <formula>LEFT(D40,6)="MEDIUM"</formula>
    </cfRule>
    <cfRule type="expression" dxfId="17" priority="60">
      <formula>LEFT(D40,3)="LOW"</formula>
    </cfRule>
  </conditionalFormatting>
  <conditionalFormatting sqref="D3:G5">
    <cfRule type="expression" dxfId="16" priority="70">
      <formula>$D$39="VERY HIGH"</formula>
    </cfRule>
    <cfRule type="expression" dxfId="15" priority="71">
      <formula>$D$39="HIGH"</formula>
    </cfRule>
    <cfRule type="expression" dxfId="14" priority="72">
      <formula>$D$39="MEDIUM"</formula>
    </cfRule>
    <cfRule type="expression" dxfId="13" priority="73">
      <formula>$D$39="LOW"</formula>
    </cfRule>
    <cfRule type="expression" dxfId="12" priority="74">
      <formula>$D$39="NOT ASSESSED"</formula>
    </cfRule>
  </conditionalFormatting>
  <conditionalFormatting sqref="D7:G7">
    <cfRule type="expression" dxfId="11" priority="41">
      <formula>ISNUMBER(SEARCH("PIPE CONDITION / LIFE: GREEN",$D7))</formula>
    </cfRule>
    <cfRule type="expression" dxfId="10" priority="40">
      <formula>ISNUMBER(SEARCH("PIPE CONDITION / LIFE: AMBER",$D7))</formula>
    </cfRule>
    <cfRule type="expression" dxfId="9" priority="39">
      <formula>ISNUMBER(SEARCH("PIPE CONDITION / LIFE: RED",$D7))</formula>
    </cfRule>
    <cfRule type="expression" dxfId="8" priority="38">
      <formula>ISNUMBER(SEARCH("INPUT CHECK REQUIRED",$D7))</formula>
    </cfRule>
  </conditionalFormatting>
  <conditionalFormatting sqref="D8:G8">
    <cfRule type="expression" dxfId="7" priority="61">
      <formula>ISNUMBER(SEARCH("NOT ASSESSED",$D8))</formula>
    </cfRule>
    <cfRule type="expression" dxfId="6" priority="62">
      <formula>ISNUMBER(SEARCH("VERY HIGH",$D8))</formula>
    </cfRule>
    <cfRule type="expression" dxfId="5" priority="63">
      <formula>AND(ISNUMBER(SEARCH("HIGH",$D8)),NOT(ISNUMBER(SEARCH("VERY HIGH",$D8))))</formula>
    </cfRule>
    <cfRule type="expression" dxfId="4" priority="64">
      <formula>ISNUMBER(SEARCH("MEDIUM",$D8))</formula>
    </cfRule>
    <cfRule type="expression" dxfId="3" priority="65">
      <formula>ISNUMBER(SEARCH("LOW",$D8))</formula>
    </cfRule>
  </conditionalFormatting>
  <dataValidations count="21">
    <dataValidation type="list" sqref="B15 B20" xr:uid="{00000000-0002-0000-0000-000000000000}">
      <formula1>"Low,Moderate,High,Severe,Unknown - Average,Unknown - Worst Case"</formula1>
    </dataValidation>
    <dataValidation type="list" sqref="B16" xr:uid="{00000000-0002-0000-0000-000001000000}">
      <formula1>"1,2,3,4,5"</formula1>
    </dataValidation>
    <dataValidation type="list" sqref="B18" xr:uid="{00000000-0002-0000-0000-000002000000}">
      <formula1>"Auto,Good / confirmed,Moderate,Poor,Very poor"</formula1>
    </dataValidation>
    <dataValidation type="list" sqref="B21" xr:uid="{00000000-0002-0000-0000-000003000000}">
      <formula1>"Good,Average,Poor,Unknown - Average,Unknown - Worst Case"</formula1>
    </dataValidation>
    <dataValidation type="list" sqref="B22" xr:uid="{00000000-0002-0000-0000-000004000000}">
      <formula1>"Auto from failure rate,Nil,Minimal,Average,Severe"</formula1>
    </dataValidation>
    <dataValidation type="custom" showErrorMessage="1" errorTitle="Invalid failure count" error="Enter a non-negative whole number, or leave blank." sqref="B23" xr:uid="{00000000-0002-0000-0000-000005000000}">
      <formula1>OR(B23="",AND(ISNUMBER(B23),B23&gt;=0,B23=INT(B23)))</formula1>
    </dataValidation>
    <dataValidation type="custom" showErrorMessage="1" errorTitle="Invalid history period" error="When one or more failures are entered, history period must be greater than zero." sqref="B24" xr:uid="{00000000-0002-0000-0000-000006000000}">
      <formula1>OR(B23="",B23=0,AND(ISNUMBER(B24),B24&gt;0))</formula1>
    </dataValidation>
    <dataValidation type="custom" showErrorMessage="1" errorTitle="Invalid pressure input" error="Minimum service pressure must be numeric and cannot be negative." sqref="B26" xr:uid="{00000000-0002-0000-0000-000007000000}">
      <formula1>AND(ISNUMBER(B26),B26&gt;=0)</formula1>
    </dataValidation>
    <dataValidation type="list" sqref="B27" xr:uid="{00000000-0002-0000-0000-000008000000}">
      <formula1>"Continuous supply,Intermittent supply"</formula1>
    </dataValidation>
    <dataValidation type="list" showInputMessage="1" showErrorMessage="1" errorTitle="Select unit system" error="Choose Metric or Imperial." promptTitle="Units first" prompt="Select Metric or Imperial before entering survey data." sqref="B2" xr:uid="{00000000-0002-0000-0000-000009000000}">
      <formula1>"Metric,Imperial"</formula1>
    </dataValidation>
    <dataValidation type="list" sqref="B6" xr:uid="{00000000-0002-0000-0000-00000A000000}">
      <formula1>"Engineering Best-Practice Assessment,Measured Acoustic Velocity,Direct Wall Thickness / NDT"</formula1>
    </dataValidation>
    <dataValidation type="custom" showErrorMessage="1" errorTitle="Invalid installation year" error="Enter a whole installation year from 1800 through to the survey year." sqref="B7" xr:uid="{00000000-0002-0000-0000-00000B000000}">
      <formula1>AND(ISNUMBER(B7),B7=INT(B7),B7&gt;=1800,B7&lt;=YEAR($B$3))</formula1>
    </dataValidation>
    <dataValidation type="custom" showErrorMessage="1" errorTitle="Invalid surveyed length" error="Enter a surveyed length greater than zero." sqref="B4" xr:uid="{00000000-0002-0000-0000-00000C000000}">
      <formula1>AND(ISNUMBER(B4),B4&gt;0)</formula1>
    </dataValidation>
    <dataValidation type="custom" showErrorMessage="1" errorTitle="Invalid pressure input" error="Current pressure must be numeric and cannot be negative." sqref="B13" xr:uid="{00000000-0002-0000-0000-00000D000000}">
      <formula1>AND(ISNUMBER(B13),B13&gt;=0)</formula1>
    </dataValidation>
    <dataValidation type="custom" showErrorMessage="1" errorTitle="Invalid pressure input" error="What-if pressure must be numeric and cannot be negative." sqref="B14" xr:uid="{00000000-0002-0000-0000-00000E000000}">
      <formula1>AND(ISNUMBER(B14),B14&gt;=0)</formula1>
    </dataValidation>
    <dataValidation type="custom" showErrorMessage="1" errorTitle="Invalid pressure input" error="Surge / transient head must be numeric and cannot be negative." sqref="B17" xr:uid="{00000000-0002-0000-0000-00000F000000}">
      <formula1>AND(ISNUMBER(B17),B17&gt;=0)</formula1>
    </dataValidation>
    <dataValidation type="list" showErrorMessage="1" errorTitle="Select cycling severity" error="Choose Low, Moderate, High, Severe, Unknown - Average or Unknown - Worst Case." sqref="B20" xr:uid="{00000000-0002-0000-0000-000010000000}">
      <formula1>"Low,Moderate,High,Severe,Unknown - Average,Unknown - Worst Case"</formula1>
    </dataValidation>
    <dataValidation type="list" showInputMessage="1" showErrorMessage="1" errorTitle="Pipe type not available" error="Select a pipe type from the drop-down list for the chosen assessment method." promptTitle="Select pipe type" prompt="Available pipe types change with the selected assessment method." sqref="B8" xr:uid="{00000000-0002-0000-0000-000011000000}">
      <formula1>$X$2:$X$13</formula1>
    </dataValidation>
    <dataValidation type="list" showInputMessage="1" showErrorMessage="1" errorTitle="Pipe class not available" error="Select a class/type from the drop-down list for the current pipe material." promptTitle="Select pipe class" prompt="Available classes/types change with pipe material and diameter." sqref="B9" xr:uid="{00000000-0002-0000-0000-000012000000}">
      <formula1>$Y$2:$Y$7</formula1>
    </dataValidation>
    <dataValidation type="list" showInputMessage="1" showErrorMessage="1" errorTitle="Diameter not available" error="Select a diameter from the drop-down list for the current pipe material." promptTitle="Select pipe diameter" prompt="Available diameters change with pipe material and unit system." sqref="B10" xr:uid="{00000000-0002-0000-0000-000013000000}">
      <formula1>$Z$2:$Z$40</formula1>
    </dataValidation>
    <dataValidation type="custom" sqref="B3" xr:uid="{00000000-0002-0000-0000-000014000000}">
      <formula1>AND(ISNUMBER(B3),B3&gt;=1,B3&lt;=2958465,B3=INT(B3))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2"/>
  <sheetViews>
    <sheetView topLeftCell="A54" workbookViewId="0">
      <selection activeCell="R47" sqref="R47"/>
    </sheetView>
  </sheetViews>
  <sheetFormatPr defaultRowHeight="14.25"/>
  <cols>
    <col min="1" max="2" width="22" customWidth="1"/>
    <col min="3" max="3" width="18" customWidth="1"/>
    <col min="4" max="4" width="29" customWidth="1"/>
    <col min="5" max="5" width="28" customWidth="1"/>
    <col min="6" max="6" width="13" customWidth="1"/>
    <col min="8" max="8" width="10.375" customWidth="1"/>
    <col min="9" max="9" width="10.5" customWidth="1"/>
    <col min="12" max="12" width="11.25" customWidth="1"/>
    <col min="14" max="14" width="16.5" customWidth="1"/>
  </cols>
  <sheetData>
    <row r="1" spans="1:16" ht="18.95" customHeight="1">
      <c r="A1" s="29" t="s">
        <v>104</v>
      </c>
      <c r="B1" s="29"/>
      <c r="C1" s="29"/>
      <c r="D1" s="29"/>
      <c r="E1" s="29"/>
      <c r="F1" s="29"/>
      <c r="G1" s="29"/>
      <c r="H1" s="29"/>
      <c r="I1" s="29"/>
      <c r="J1" s="29"/>
      <c r="K1" s="29"/>
      <c r="L1" s="29"/>
      <c r="M1" s="29"/>
      <c r="N1" s="29"/>
      <c r="O1" s="29"/>
      <c r="P1" s="29"/>
    </row>
    <row r="2" spans="1:16" ht="27.4" customHeight="1">
      <c r="A2" s="30" t="s">
        <v>105</v>
      </c>
      <c r="B2" s="101" t="str">
        <f>Dashboard!B5</f>
        <v>Example — replace with asset location</v>
      </c>
      <c r="C2" s="30" t="s">
        <v>106</v>
      </c>
      <c r="D2" s="102">
        <f>Dashboard!B3</f>
        <v>46274</v>
      </c>
      <c r="E2" s="30" t="s">
        <v>107</v>
      </c>
      <c r="F2" s="103" t="str">
        <f>TEXT(Dashboard!B4,"0.000")&amp;IF(Dashboard!$B$2="Metric"," km"," miles")</f>
        <v>5.000 km</v>
      </c>
      <c r="G2" s="30" t="s">
        <v>108</v>
      </c>
      <c r="H2" s="101" t="str">
        <f>Dashboard!B8</f>
        <v>Grey cast iron</v>
      </c>
      <c r="I2" s="30" t="s">
        <v>109</v>
      </c>
      <c r="J2" s="104">
        <f>Dashboard!B7</f>
        <v>1985</v>
      </c>
      <c r="K2" s="30" t="s">
        <v>110</v>
      </c>
      <c r="L2" s="101" t="str">
        <f>'Calc Engine'!B47&amp;IF(Dashboard!B22="Auto from failure rate"," (Auto)"," (Engineer override)")</f>
        <v>Average (Auto)</v>
      </c>
      <c r="M2" s="30" t="s">
        <v>111</v>
      </c>
      <c r="N2" s="101" t="str">
        <f>IF(ISNUMBER('Calc Engine'!$B$45),TEXT('Calc Engine'!$B$45*IF(Dashboard!$B$2="Metric",1,'Unit Selection'!$E$8),"0.00")&amp;IF(Dashboard!$B$2="Metric"," bursts/100 km/year"," bursts/100 miles/year"),"N/A")</f>
        <v>20.00 bursts/100 km/year</v>
      </c>
      <c r="O2" s="30"/>
      <c r="P2" s="30"/>
    </row>
    <row r="3" spans="1:16" ht="15">
      <c r="A3" s="125" t="s">
        <v>112</v>
      </c>
      <c r="B3" s="120"/>
      <c r="C3" s="120"/>
      <c r="D3" s="120"/>
      <c r="E3" s="120"/>
      <c r="F3" s="120"/>
      <c r="G3" s="1"/>
      <c r="H3" s="123"/>
      <c r="I3" s="120"/>
      <c r="J3" s="120"/>
      <c r="K3" s="120"/>
      <c r="L3" s="120"/>
      <c r="M3" s="120"/>
      <c r="N3" s="120"/>
      <c r="O3" s="120"/>
      <c r="P3" s="120"/>
    </row>
    <row r="4" spans="1:16" ht="15">
      <c r="A4" s="31"/>
      <c r="B4" s="31"/>
      <c r="C4" s="31"/>
      <c r="D4" s="31"/>
      <c r="E4" s="31"/>
      <c r="F4" s="31"/>
      <c r="G4" s="1"/>
      <c r="H4" s="122" t="s">
        <v>113</v>
      </c>
      <c r="I4" s="120"/>
      <c r="J4" s="120"/>
      <c r="K4" s="120"/>
      <c r="L4" s="120"/>
      <c r="M4" s="120"/>
      <c r="N4" s="120"/>
      <c r="O4" s="120"/>
      <c r="P4" s="120"/>
    </row>
    <row r="5" spans="1:16" ht="27.4" customHeight="1">
      <c r="A5" s="105" t="str">
        <f>IF(Dashboard!$B$2="Metric","Operating pressure (m head)","Operating pressure (psi)")</f>
        <v>Operating pressure (m head)</v>
      </c>
      <c r="B5" s="105" t="str">
        <f>IF(Dashboard!$B$2="Metric","Peak head incl. surge (m)","Peak pressure incl. surge (psi)")</f>
        <v>Peak head incl. surge (m)</v>
      </c>
      <c r="C5" s="105" t="str">
        <f>IF('Calc Engine'!$I$2="Metallic","Pressure modifier","Pressure-adjusted retained condition")</f>
        <v>Pressure modifier</v>
      </c>
      <c r="D5" s="32" t="s">
        <v>114</v>
      </c>
      <c r="E5" s="32" t="s">
        <v>115</v>
      </c>
      <c r="F5" s="32" t="s">
        <v>116</v>
      </c>
      <c r="H5" s="124" t="str">
        <f>"Operating pressure ("&amp;IF(Dashboard!$B$2="Metric","m head","psi")&amp;") | Remaining life (years)"</f>
        <v>Operating pressure (m head) | Remaining life (years)</v>
      </c>
      <c r="I5" s="118"/>
      <c r="J5" s="118"/>
      <c r="K5" s="118"/>
      <c r="L5" s="118"/>
      <c r="M5" s="118"/>
      <c r="N5" s="118"/>
      <c r="O5" s="118"/>
      <c r="P5" s="118"/>
    </row>
    <row r="6" spans="1:16" ht="15">
      <c r="A6" s="106">
        <f>IF(Dashboard!$B$2="Metric",10,10/'Unit Selection'!$E$7)</f>
        <v>10</v>
      </c>
      <c r="B6" s="106">
        <f>IF(OR('Calc Engine'!$B$143="INVALID",NOT(ISNUMBER(Dashboard!$B$17))),"",A6+Dashboard!$B$17)</f>
        <v>12</v>
      </c>
      <c r="C6" s="107">
        <f>IF(NOT(ISNUMBER(B6)),"",IF('Calc Engine'!$I$2="Metallic",EXP(-('Calc Engine'!CU6-IF('Calc Engine'!CN6&lt;'Assumptions &amp; Method'!$F$35,'Calc Engine'!$L$31,0))*(((IF(Dashboard!$B$2="Metric",B6,B6*'Unit Selection'!$E$7))/'Assumptions &amp; Method'!$F$35)-1)),MAX(0,1-POWER('Calc Engine'!$I$4,'Calc Engine'!$I$10)*'Calc Engine'!$I$7*'Calc Engine'!$I$8*'Calc Engine'!$I$9*MAX(0.5,1+1.5*POWER(MAX(0,((IF(Dashboard!$B$2="Metric",B6,B6*'Unit Selection'!$E$7))/MAX(0.01,'Calc Engine'!$B$36))-0.5),2)))))</f>
        <v>1.3184577332518497</v>
      </c>
      <c r="D6" s="106">
        <f>IF(NOT(ISNUMBER(C6)),"",IF('Calc Engine'!$I$2&lt;&gt;"Metallic",MAX(0,'Calc Engine'!$I$3*(1-'Calc Engine'!$I$4)*C6*'Calc Engine'!$I$18*'Calc Engine'!$I$19),MAX(0,MIN('Calc Engine'!CR6,'Calc Engine'!CR6*'Calc Engine'!CT6*C6*'Calc Engine'!$B$109))))</f>
        <v>29.417340873785939</v>
      </c>
      <c r="E6" s="106">
        <f>IF(NOT(ISNUMBER(D6)),"",MIN(100,MAX(0,100*POWER(1-MIN(1,D6/MAX(0.01,IF('Calc Engine'!$I$2="Metallic",'Calc Engine'!$L$2,'Calc Engine'!$I$3))),'Assumptions &amp; Method'!$F$41))))</f>
        <v>36.938290009184463</v>
      </c>
      <c r="F6" s="108" t="str">
        <f>IF(OR('Calc Engine'!$B$143="INVALID",NOT(ISNUMBER(D6))),"NOT ASSESSED",IF(OR(A6&lt;Dashboard!$B$26,D6*(1-'Calc Engine'!$B$112)&lt;='Assumptions &amp; Method'!$B$7,AND('Calc Engine'!$B$129="Direct Wall Thickness / NDT",OR('Calc Engine'!$B$19&lt;='Calc Engine'!CP6,AND(ISNUMBER('Calc Engine'!CQ6),'Calc Engine'!CQ6&lt;=0.25)))),"RED",IF(OR(D6*(1-'Calc Engine'!$B$112)&lt;='Assumptions &amp; Method'!$B$8,AND('Calc Engine'!$B$129="Direct Wall Thickness / NDT",ISNUMBER('Calc Engine'!CQ6),'Calc Engine'!CQ6&lt;=0.5)),"AMBER","GREEN")))</f>
        <v>RED</v>
      </c>
    </row>
    <row r="7" spans="1:16" ht="15">
      <c r="A7" s="106">
        <f>IF(Dashboard!$B$2="Metric",20,20/'Unit Selection'!$E$7)</f>
        <v>20</v>
      </c>
      <c r="B7" s="106">
        <f>IF(OR('Calc Engine'!$B$143="INVALID",NOT(ISNUMBER(Dashboard!$B$17))),"",A7+Dashboard!$B$17)</f>
        <v>22</v>
      </c>
      <c r="C7" s="107">
        <f>IF(NOT(ISNUMBER(B7)),"",IF('Calc Engine'!$I$2="Metallic",EXP(-('Calc Engine'!CU7-IF('Calc Engine'!CN7&lt;'Assumptions &amp; Method'!$F$35,'Calc Engine'!$L$31,0))*(((IF(Dashboard!$B$2="Metric",B7,B7*'Unit Selection'!$E$7))/'Assumptions &amp; Method'!$F$35)-1)),MAX(0,1-POWER('Calc Engine'!$I$4,'Calc Engine'!$I$10)*'Calc Engine'!$I$7*'Calc Engine'!$I$8*'Calc Engine'!$I$9*MAX(0.5,1+1.5*POWER(MAX(0,((IF(Dashboard!$B$2="Metric",B7,B7*'Unit Selection'!$E$7))/MAX(0.01,'Calc Engine'!$B$36))-0.5),2)))))</f>
        <v>1.2259417639125665</v>
      </c>
      <c r="D7" s="106">
        <f>IF(NOT(ISNUMBER(C7)),"",IF('Calc Engine'!$I$2&lt;&gt;"Metallic",MAX(0,'Calc Engine'!$I$3*(1-'Calc Engine'!$I$4)*C7*'Calc Engine'!$I$18*'Calc Engine'!$I$19),MAX(0,MIN('Calc Engine'!CR7,'Calc Engine'!CR7*'Calc Engine'!CT7*C7*'Calc Engine'!$B$109))))</f>
        <v>27.353130745782881</v>
      </c>
      <c r="E7" s="106">
        <f>IF(NOT(ISNUMBER(D7)),"",MIN(100,MAX(0,100*POWER(1-MIN(1,D7/MAX(0.01,IF('Calc Engine'!$I$2="Metallic",'Calc Engine'!$L$2,'Calc Engine'!$I$3))),'Assumptions &amp; Method'!$F$41))))</f>
        <v>40.359540439617078</v>
      </c>
      <c r="F7" s="108" t="str">
        <f>IF(OR('Calc Engine'!$B$143="INVALID",NOT(ISNUMBER(D7))),"NOT ASSESSED",IF(OR(A7&lt;Dashboard!$B$26,D7*(1-'Calc Engine'!$B$112)&lt;='Assumptions &amp; Method'!$B$7,AND('Calc Engine'!$B$129="Direct Wall Thickness / NDT",OR('Calc Engine'!$B$19&lt;='Calc Engine'!CP7,AND(ISNUMBER('Calc Engine'!CQ7),'Calc Engine'!CQ7&lt;=0.25)))),"RED",IF(OR(D7*(1-'Calc Engine'!$B$112)&lt;='Assumptions &amp; Method'!$B$8,AND('Calc Engine'!$B$129="Direct Wall Thickness / NDT",ISNUMBER('Calc Engine'!CQ7),'Calc Engine'!CQ7&lt;=0.5)),"AMBER","GREEN")))</f>
        <v>GREEN</v>
      </c>
    </row>
    <row r="8" spans="1:16" ht="15">
      <c r="A8" s="106">
        <f>IF(Dashboard!$B$2="Metric",30,30/'Unit Selection'!$E$7)</f>
        <v>30</v>
      </c>
      <c r="B8" s="106">
        <f>IF(OR('Calc Engine'!$B$143="INVALID",NOT(ISNUMBER(Dashboard!$B$17))),"",A8+Dashboard!$B$17)</f>
        <v>32</v>
      </c>
      <c r="C8" s="107">
        <f>IF(NOT(ISNUMBER(B8)),"",IF('Calc Engine'!$I$2="Metallic",EXP(-('Calc Engine'!CU8-IF('Calc Engine'!CN8&lt;'Assumptions &amp; Method'!$F$35,'Calc Engine'!$L$31,0))*(((IF(Dashboard!$B$2="Metric",B8,B8*'Unit Selection'!$E$7))/'Assumptions &amp; Method'!$F$35)-1)),MAX(0,1-POWER('Calc Engine'!$I$4,'Calc Engine'!$I$10)*'Calc Engine'!$I$7*'Calc Engine'!$I$8*'Calc Engine'!$I$9*MAX(0.5,1+1.5*POWER(MAX(0,((IF(Dashboard!$B$2="Metric",B8,B8*'Unit Selection'!$E$7))/MAX(0.01,'Calc Engine'!$B$36))-0.5),2)))))</f>
        <v>1.1399176254199774</v>
      </c>
      <c r="D8" s="106">
        <f>IF(NOT(ISNUMBER(C8)),"",IF('Calc Engine'!$I$2&lt;&gt;"Metallic",MAX(0,'Calc Engine'!$I$3*(1-'Calc Engine'!$I$4)*C8*'Calc Engine'!$I$18*'Calc Engine'!$I$19),MAX(0,MIN('Calc Engine'!CR8,'Calc Engine'!CR8*'Calc Engine'!CT8*C8*'Calc Engine'!$B$109))))</f>
        <v>25.43376591398901</v>
      </c>
      <c r="E8" s="106">
        <f>IF(NOT(ISNUMBER(D8)),"",MIN(100,MAX(0,100*POWER(1-MIN(1,D8/MAX(0.01,IF('Calc Engine'!$I$2="Metallic",'Calc Engine'!$L$2,'Calc Engine'!$I$3))),'Assumptions &amp; Method'!$F$41))))</f>
        <v>43.676649981675332</v>
      </c>
      <c r="F8" s="108" t="str">
        <f>IF(OR('Calc Engine'!$B$143="INVALID",NOT(ISNUMBER(D8))),"NOT ASSESSED",IF(OR(A8&lt;Dashboard!$B$26,D8*(1-'Calc Engine'!$B$112)&lt;='Assumptions &amp; Method'!$B$7,AND('Calc Engine'!$B$129="Direct Wall Thickness / NDT",OR('Calc Engine'!$B$19&lt;='Calc Engine'!CP8,AND(ISNUMBER('Calc Engine'!CQ8),'Calc Engine'!CQ8&lt;=0.25)))),"RED",IF(OR(D8*(1-'Calc Engine'!$B$112)&lt;='Assumptions &amp; Method'!$B$8,AND('Calc Engine'!$B$129="Direct Wall Thickness / NDT",ISNUMBER('Calc Engine'!CQ8),'Calc Engine'!CQ8&lt;=0.5)),"AMBER","GREEN")))</f>
        <v>GREEN</v>
      </c>
    </row>
    <row r="9" spans="1:16" ht="15">
      <c r="A9" s="106">
        <f>IF(Dashboard!$B$2="Metric",40,40/'Unit Selection'!$E$7)</f>
        <v>40</v>
      </c>
      <c r="B9" s="106">
        <f>IF(OR('Calc Engine'!$B$143="INVALID",NOT(ISNUMBER(Dashboard!$B$17))),"",A9+Dashboard!$B$17)</f>
        <v>42</v>
      </c>
      <c r="C9" s="107">
        <f>IF(NOT(ISNUMBER(B9)),"",IF('Calc Engine'!$I$2="Metallic",EXP(-('Calc Engine'!CU9-IF('Calc Engine'!CN9&lt;'Assumptions &amp; Method'!$F$35,'Calc Engine'!$L$31,0))*(((IF(Dashboard!$B$2="Metric",B9,B9*'Unit Selection'!$E$7))/'Assumptions &amp; Method'!$F$35)-1)),MAX(0,1-POWER('Calc Engine'!$I$4,'Calc Engine'!$I$10)*'Calc Engine'!$I$7*'Calc Engine'!$I$8*'Calc Engine'!$I$9*MAX(0.5,1+1.5*POWER(MAX(0,((IF(Dashboard!$B$2="Metric",B9,B9*'Unit Selection'!$E$7))/MAX(0.01,'Calc Engine'!$B$36))-0.5),2)))))</f>
        <v>1.0599297870366</v>
      </c>
      <c r="D9" s="106">
        <f>IF(NOT(ISNUMBER(C9)),"",IF('Calc Engine'!$I$2&lt;&gt;"Metallic",MAX(0,'Calc Engine'!$I$3*(1-'Calc Engine'!$I$4)*C9*'Calc Engine'!$I$18*'Calc Engine'!$I$19),MAX(0,MIN('Calc Engine'!CR9,'Calc Engine'!CR9*'Calc Engine'!CT9*C9*'Calc Engine'!$B$109))))</f>
        <v>23.649082607018229</v>
      </c>
      <c r="E9" s="106">
        <f>IF(NOT(ISNUMBER(D9)),"",MIN(100,MAX(0,100*POWER(1-MIN(1,D9/MAX(0.01,IF('Calc Engine'!$I$2="Metallic",'Calc Engine'!$L$2,'Calc Engine'!$I$3))),'Assumptions &amp; Method'!$F$41))))</f>
        <v>46.878519415126</v>
      </c>
      <c r="F9" s="108" t="str">
        <f>IF(OR('Calc Engine'!$B$143="INVALID",NOT(ISNUMBER(D9))),"NOT ASSESSED",IF(OR(A9&lt;Dashboard!$B$26,D9*(1-'Calc Engine'!$B$112)&lt;='Assumptions &amp; Method'!$B$7,AND('Calc Engine'!$B$129="Direct Wall Thickness / NDT",OR('Calc Engine'!$B$19&lt;='Calc Engine'!CP9,AND(ISNUMBER('Calc Engine'!CQ9),'Calc Engine'!CQ9&lt;=0.25)))),"RED",IF(OR(D9*(1-'Calc Engine'!$B$112)&lt;='Assumptions &amp; Method'!$B$8,AND('Calc Engine'!$B$129="Direct Wall Thickness / NDT",ISNUMBER('Calc Engine'!CQ9),'Calc Engine'!CQ9&lt;=0.5)),"AMBER","GREEN")))</f>
        <v>GREEN</v>
      </c>
    </row>
    <row r="10" spans="1:16" ht="15">
      <c r="A10" s="106">
        <f>IF(Dashboard!$B$2="Metric",50,50/'Unit Selection'!$E$7)</f>
        <v>50</v>
      </c>
      <c r="B10" s="106">
        <f>IF(OR('Calc Engine'!$B$143="INVALID",NOT(ISNUMBER(Dashboard!$B$17))),"",A10+Dashboard!$B$17)</f>
        <v>52</v>
      </c>
      <c r="C10" s="107">
        <f>IF(NOT(ISNUMBER(B10)),"",IF('Calc Engine'!$I$2="Metallic",EXP(-('Calc Engine'!CU10-IF('Calc Engine'!CN10&lt;'Assumptions &amp; Method'!$F$35,'Calc Engine'!$L$31,0))*(((IF(Dashboard!$B$2="Metric",B10,B10*'Unit Selection'!$E$7))/'Assumptions &amp; Method'!$F$35)-1)),MAX(0,1-POWER('Calc Engine'!$I$4,'Calc Engine'!$I$10)*'Calc Engine'!$I$7*'Calc Engine'!$I$8*'Calc Engine'!$I$9*MAX(0.5,1+1.5*POWER(MAX(0,((IF(Dashboard!$B$2="Metric",B10,B10*'Unit Selection'!$E$7))/MAX(0.01,'Calc Engine'!$B$36))-0.5),2)))))</f>
        <v>0.98083535551407641</v>
      </c>
      <c r="D10" s="106">
        <f>IF(NOT(ISNUMBER(C10)),"",IF('Calc Engine'!$I$2&lt;&gt;"Metallic",MAX(0,'Calc Engine'!$I$3*(1-'Calc Engine'!$I$4)*C10*'Calc Engine'!$I$18*'Calc Engine'!$I$19),MAX(0,MIN('Calc Engine'!CR10,'Calc Engine'!CR10*'Calc Engine'!CT10*C10*'Calc Engine'!$B$109))))</f>
        <v>21.884332934248899</v>
      </c>
      <c r="E10" s="106">
        <f>IF(NOT(ISNUMBER(D10)),"",MIN(100,MAX(0,100*POWER(1-MIN(1,D10/MAX(0.01,IF('Calc Engine'!$I$2="Metallic",'Calc Engine'!$L$2,'Calc Engine'!$I$3))),'Assumptions &amp; Method'!$F$41))))</f>
        <v>50.15598378381717</v>
      </c>
      <c r="F10" s="108" t="str">
        <f>IF(OR('Calc Engine'!$B$143="INVALID",NOT(ISNUMBER(D10))),"NOT ASSESSED",IF(OR(A10&lt;Dashboard!$B$26,D10*(1-'Calc Engine'!$B$112)&lt;='Assumptions &amp; Method'!$B$7,AND('Calc Engine'!$B$129="Direct Wall Thickness / NDT",OR('Calc Engine'!$B$19&lt;='Calc Engine'!CP10,AND(ISNUMBER('Calc Engine'!CQ10),'Calc Engine'!CQ10&lt;=0.25)))),"RED",IF(OR(D10*(1-'Calc Engine'!$B$112)&lt;='Assumptions &amp; Method'!$B$8,AND('Calc Engine'!$B$129="Direct Wall Thickness / NDT",ISNUMBER('Calc Engine'!CQ10),'Calc Engine'!CQ10&lt;=0.5)),"AMBER","GREEN")))</f>
        <v>GREEN</v>
      </c>
    </row>
    <row r="11" spans="1:16" ht="15">
      <c r="A11" s="106">
        <f>IF(Dashboard!$B$2="Metric",60,60/'Unit Selection'!$E$7)</f>
        <v>60</v>
      </c>
      <c r="B11" s="106">
        <f>IF(OR('Calc Engine'!$B$143="INVALID",NOT(ISNUMBER(Dashboard!$B$17))),"",A11+Dashboard!$B$17)</f>
        <v>62</v>
      </c>
      <c r="C11" s="107">
        <f>IF(NOT(ISNUMBER(B11)),"",IF('Calc Engine'!$I$2="Metallic",EXP(-('Calc Engine'!CU11-IF('Calc Engine'!CN11&lt;'Assumptions &amp; Method'!$F$35,'Calc Engine'!$L$31,0))*(((IF(Dashboard!$B$2="Metric",B11,B11*'Unit Selection'!$E$7))/'Assumptions &amp; Method'!$F$35)-1)),MAX(0,1-POWER('Calc Engine'!$I$4,'Calc Engine'!$I$10)*'Calc Engine'!$I$7*'Calc Engine'!$I$8*'Calc Engine'!$I$9*MAX(0.5,1+1.5*POWER(MAX(0,((IF(Dashboard!$B$2="Metric",B11,B11*'Unit Selection'!$E$7))/MAX(0.01,'Calc Engine'!$B$36))-0.5),2)))))</f>
        <v>0.89038261786343154</v>
      </c>
      <c r="D11" s="106">
        <f>IF(NOT(ISNUMBER(C11)),"",IF('Calc Engine'!$I$2&lt;&gt;"Metallic",MAX(0,'Calc Engine'!$I$3*(1-'Calc Engine'!$I$4)*C11*'Calc Engine'!$I$18*'Calc Engine'!$I$19),MAX(0,MIN('Calc Engine'!CR11,'Calc Engine'!CR11*'Calc Engine'!CT11*C11*'Calc Engine'!$B$109))))</f>
        <v>19.866157493862691</v>
      </c>
      <c r="E11" s="106">
        <f>IF(NOT(ISNUMBER(D11)),"",MIN(100,MAX(0,100*POWER(1-MIN(1,D11/MAX(0.01,IF('Calc Engine'!$I$2="Metallic",'Calc Engine'!$L$2,'Calc Engine'!$I$3))),'Assumptions &amp; Method'!$F$41))))</f>
        <v>54.039832702072069</v>
      </c>
      <c r="F11" s="108" t="str">
        <f>IF(OR('Calc Engine'!$B$143="INVALID",NOT(ISNUMBER(D11))),"NOT ASSESSED",IF(OR(A11&lt;Dashboard!$B$26,D11*(1-'Calc Engine'!$B$112)&lt;='Assumptions &amp; Method'!$B$7,AND('Calc Engine'!$B$129="Direct Wall Thickness / NDT",OR('Calc Engine'!$B$19&lt;='Calc Engine'!CP11,AND(ISNUMBER('Calc Engine'!CQ11),'Calc Engine'!CQ11&lt;=0.25)))),"RED",IF(OR(D11*(1-'Calc Engine'!$B$112)&lt;='Assumptions &amp; Method'!$B$8,AND('Calc Engine'!$B$129="Direct Wall Thickness / NDT",ISNUMBER('Calc Engine'!CQ11),'Calc Engine'!CQ11&lt;=0.5)),"AMBER","GREEN")))</f>
        <v>GREEN</v>
      </c>
    </row>
    <row r="12" spans="1:16" ht="15">
      <c r="A12" s="106">
        <f>IF(Dashboard!$B$2="Metric",70,70/'Unit Selection'!$E$7)</f>
        <v>70</v>
      </c>
      <c r="B12" s="106">
        <f>IF(OR('Calc Engine'!$B$143="INVALID",NOT(ISNUMBER(Dashboard!$B$17))),"",A12+Dashboard!$B$17)</f>
        <v>72</v>
      </c>
      <c r="C12" s="107">
        <f>IF(NOT(ISNUMBER(B12)),"",IF('Calc Engine'!$I$2="Metallic",EXP(-('Calc Engine'!CU12-IF('Calc Engine'!CN12&lt;'Assumptions &amp; Method'!$F$35,'Calc Engine'!$L$31,0))*(((IF(Dashboard!$B$2="Metric",B12,B12*'Unit Selection'!$E$7))/'Assumptions &amp; Method'!$F$35)-1)),MAX(0,1-POWER('Calc Engine'!$I$4,'Calc Engine'!$I$10)*'Calc Engine'!$I$7*'Calc Engine'!$I$8*'Calc Engine'!$I$9*MAX(0.5,1+1.5*POWER(MAX(0,((IF(Dashboard!$B$2="Metric",B12,B12*'Unit Selection'!$E$7))/MAX(0.01,'Calc Engine'!$B$36))-0.5),2)))))</f>
        <v>0.80827144100838844</v>
      </c>
      <c r="D12" s="106">
        <f>IF(NOT(ISNUMBER(C12)),"",IF('Calc Engine'!$I$2&lt;&gt;"Metallic",MAX(0,'Calc Engine'!$I$3*(1-'Calc Engine'!$I$4)*C12*'Calc Engine'!$I$18*'Calc Engine'!$I$19),MAX(0,MIN('Calc Engine'!CR12,'Calc Engine'!CR12*'Calc Engine'!CT12*C12*'Calc Engine'!$B$109))))</f>
        <v>18.034098400747173</v>
      </c>
      <c r="E12" s="106">
        <f>IF(NOT(ISNUMBER(D12)),"",MIN(100,MAX(0,100*POWER(1-MIN(1,D12/MAX(0.01,IF('Calc Engine'!$I$2="Metallic",'Calc Engine'!$L$2,'Calc Engine'!$I$3))),'Assumptions &amp; Method'!$F$41))))</f>
        <v>57.690914578057885</v>
      </c>
      <c r="F12" s="108" t="str">
        <f>IF(OR('Calc Engine'!$B$143="INVALID",NOT(ISNUMBER(D12))),"NOT ASSESSED",IF(OR(A12&lt;Dashboard!$B$26,D12*(1-'Calc Engine'!$B$112)&lt;='Assumptions &amp; Method'!$B$7,AND('Calc Engine'!$B$129="Direct Wall Thickness / NDT",OR('Calc Engine'!$B$19&lt;='Calc Engine'!CP12,AND(ISNUMBER('Calc Engine'!CQ12),'Calc Engine'!CQ12&lt;=0.25)))),"RED",IF(OR(D12*(1-'Calc Engine'!$B$112)&lt;='Assumptions &amp; Method'!$B$8,AND('Calc Engine'!$B$129="Direct Wall Thickness / NDT",ISNUMBER('Calc Engine'!CQ12),'Calc Engine'!CQ12&lt;=0.5)),"AMBER","GREEN")))</f>
        <v>GREEN</v>
      </c>
    </row>
    <row r="13" spans="1:16" ht="15">
      <c r="A13" s="106">
        <f>IF(Dashboard!$B$2="Metric",80,80/'Unit Selection'!$E$7)</f>
        <v>80</v>
      </c>
      <c r="B13" s="106">
        <f>IF(OR('Calc Engine'!$B$143="INVALID",NOT(ISNUMBER(Dashboard!$B$17))),"",A13+Dashboard!$B$17)</f>
        <v>82</v>
      </c>
      <c r="C13" s="107">
        <f>IF(NOT(ISNUMBER(B13)),"",IF('Calc Engine'!$I$2="Metallic",EXP(-('Calc Engine'!CU13-IF('Calc Engine'!CN13&lt;'Assumptions &amp; Method'!$F$35,'Calc Engine'!$L$31,0))*(((IF(Dashboard!$B$2="Metric",B13,B13*'Unit Selection'!$E$7))/'Assumptions &amp; Method'!$F$35)-1)),MAX(0,1-POWER('Calc Engine'!$I$4,'Calc Engine'!$I$10)*'Calc Engine'!$I$7*'Calc Engine'!$I$8*'Calc Engine'!$I$9*MAX(0.5,1+1.5*POWER(MAX(0,((IF(Dashboard!$B$2="Metric",B13,B13*'Unit Selection'!$E$7))/MAX(0.01,'Calc Engine'!$B$36))-0.5),2)))))</f>
        <v>0.73373256535201303</v>
      </c>
      <c r="D13" s="106">
        <f>IF(NOT(ISNUMBER(C13)),"",IF('Calc Engine'!$I$2&lt;&gt;"Metallic",MAX(0,'Calc Engine'!$I$3*(1-'Calc Engine'!$I$4)*C13*'Calc Engine'!$I$18*'Calc Engine'!$I$19),MAX(0,MIN('Calc Engine'!CR13,'Calc Engine'!CR13*'Calc Engine'!CT13*C13*'Calc Engine'!$B$109))))</f>
        <v>16.370991986160664</v>
      </c>
      <c r="E13" s="106">
        <f>IF(NOT(ISNUMBER(D13)),"",MIN(100,MAX(0,100*POWER(1-MIN(1,D13/MAX(0.01,IF('Calc Engine'!$I$2="Metallic",'Calc Engine'!$L$2,'Calc Engine'!$I$3))),'Assumptions &amp; Method'!$F$41))))</f>
        <v>61.108632545543784</v>
      </c>
      <c r="F13" s="108" t="str">
        <f>IF(OR('Calc Engine'!$B$143="INVALID",NOT(ISNUMBER(D13))),"NOT ASSESSED",IF(OR(A13&lt;Dashboard!$B$26,D13*(1-'Calc Engine'!$B$112)&lt;='Assumptions &amp; Method'!$B$7,AND('Calc Engine'!$B$129="Direct Wall Thickness / NDT",OR('Calc Engine'!$B$19&lt;='Calc Engine'!CP13,AND(ISNUMBER('Calc Engine'!CQ13),'Calc Engine'!CQ13&lt;=0.25)))),"RED",IF(OR(D13*(1-'Calc Engine'!$B$112)&lt;='Assumptions &amp; Method'!$B$8,AND('Calc Engine'!$B$129="Direct Wall Thickness / NDT",ISNUMBER('Calc Engine'!CQ13),'Calc Engine'!CQ13&lt;=0.5)),"AMBER","GREEN")))</f>
        <v>GREEN</v>
      </c>
    </row>
    <row r="14" spans="1:16" ht="15">
      <c r="A14" s="106">
        <f>IF(Dashboard!$B$2="Metric",90,90/'Unit Selection'!$E$7)</f>
        <v>90</v>
      </c>
      <c r="B14" s="106">
        <f>IF(OR('Calc Engine'!$B$143="INVALID",NOT(ISNUMBER(Dashboard!$B$17))),"",A14+Dashboard!$B$17)</f>
        <v>92</v>
      </c>
      <c r="C14" s="107">
        <f>IF(NOT(ISNUMBER(B14)),"",IF('Calc Engine'!$I$2="Metallic",EXP(-('Calc Engine'!CU14-IF('Calc Engine'!CN14&lt;'Assumptions &amp; Method'!$F$35,'Calc Engine'!$L$31,0))*(((IF(Dashboard!$B$2="Metric",B14,B14*'Unit Selection'!$E$7))/'Assumptions &amp; Method'!$F$35)-1)),MAX(0,1-POWER('Calc Engine'!$I$4,'Calc Engine'!$I$10)*'Calc Engine'!$I$7*'Calc Engine'!$I$8*'Calc Engine'!$I$9*MAX(0.5,1+1.5*POWER(MAX(0,((IF(Dashboard!$B$2="Metric",B14,B14*'Unit Selection'!$E$7))/MAX(0.01,'Calc Engine'!$B$36))-0.5),2)))))</f>
        <v>0.66606767249674337</v>
      </c>
      <c r="D14" s="106">
        <f>IF(NOT(ISNUMBER(C14)),"",IF('Calc Engine'!$I$2&lt;&gt;"Metallic",MAX(0,'Calc Engine'!$I$3*(1-'Calc Engine'!$I$4)*C14*'Calc Engine'!$I$18*'Calc Engine'!$I$19),MAX(0,MIN('Calc Engine'!CR14,'Calc Engine'!CR14*'Calc Engine'!CT14*C14*'Calc Engine'!$B$109))))</f>
        <v>14.861257416663134</v>
      </c>
      <c r="E14" s="106">
        <f>IF(NOT(ISNUMBER(D14)),"",MIN(100,MAX(0,100*POWER(1-MIN(1,D14/MAX(0.01,IF('Calc Engine'!$I$2="Metallic",'Calc Engine'!$L$2,'Calc Engine'!$I$3))),'Assumptions &amp; Method'!$F$41))))</f>
        <v>64.296326391197411</v>
      </c>
      <c r="F14" s="108" t="str">
        <f>IF(OR('Calc Engine'!$B$143="INVALID",NOT(ISNUMBER(D14))),"NOT ASSESSED",IF(OR(A14&lt;Dashboard!$B$26,D14*(1-'Calc Engine'!$B$112)&lt;='Assumptions &amp; Method'!$B$7,AND('Calc Engine'!$B$129="Direct Wall Thickness / NDT",OR('Calc Engine'!$B$19&lt;='Calc Engine'!CP14,AND(ISNUMBER('Calc Engine'!CQ14),'Calc Engine'!CQ14&lt;=0.25)))),"RED",IF(OR(D14*(1-'Calc Engine'!$B$112)&lt;='Assumptions &amp; Method'!$B$8,AND('Calc Engine'!$B$129="Direct Wall Thickness / NDT",ISNUMBER('Calc Engine'!CQ14),'Calc Engine'!CQ14&lt;=0.5)),"AMBER","GREEN")))</f>
        <v>GREEN</v>
      </c>
    </row>
    <row r="15" spans="1:16" ht="15">
      <c r="A15" s="106">
        <f>IF(Dashboard!$B$2="Metric",100,100/'Unit Selection'!$E$7)</f>
        <v>100</v>
      </c>
      <c r="B15" s="106">
        <f>IF(OR('Calc Engine'!$B$143="INVALID",NOT(ISNUMBER(Dashboard!$B$17))),"",A15+Dashboard!$B$17)</f>
        <v>102</v>
      </c>
      <c r="C15" s="107">
        <f>IF(NOT(ISNUMBER(B15)),"",IF('Calc Engine'!$I$2="Metallic",EXP(-('Calc Engine'!CU15-IF('Calc Engine'!CN15&lt;'Assumptions &amp; Method'!$F$35,'Calc Engine'!$L$31,0))*(((IF(Dashboard!$B$2="Metric",B15,B15*'Unit Selection'!$E$7))/'Assumptions &amp; Method'!$F$35)-1)),MAX(0,1-POWER('Calc Engine'!$I$4,'Calc Engine'!$I$10)*'Calc Engine'!$I$7*'Calc Engine'!$I$8*'Calc Engine'!$I$9*MAX(0.5,1+1.5*POWER(MAX(0,((IF(Dashboard!$B$2="Metric",B15,B15*'Unit Selection'!$E$7))/MAX(0.01,'Calc Engine'!$B$36))-0.5),2)))))</f>
        <v>0.60464284303966642</v>
      </c>
      <c r="D15" s="106">
        <f>IF(NOT(ISNUMBER(C15)),"",IF('Calc Engine'!$I$2&lt;&gt;"Metallic",MAX(0,'Calc Engine'!$I$3*(1-'Calc Engine'!$I$4)*C15*'Calc Engine'!$I$18*'Calc Engine'!$I$19),MAX(0,MIN('Calc Engine'!CR15,'Calc Engine'!CR15*'Calc Engine'!CT15*C15*'Calc Engine'!$B$109))))</f>
        <v>13.490750724881428</v>
      </c>
      <c r="E15" s="106">
        <f>IF(NOT(ISNUMBER(D15)),"",MIN(100,MAX(0,100*POWER(1-MIN(1,D15/MAX(0.01,IF('Calc Engine'!$I$2="Metallic",'Calc Engine'!$L$2,'Calc Engine'!$I$3))),'Assumptions &amp; Method'!$F$41))))</f>
        <v>67.260226602465337</v>
      </c>
      <c r="F15" s="108" t="str">
        <f>IF(OR('Calc Engine'!$B$143="INVALID",NOT(ISNUMBER(D15))),"NOT ASSESSED",IF(OR(A15&lt;Dashboard!$B$26,D15*(1-'Calc Engine'!$B$112)&lt;='Assumptions &amp; Method'!$B$7,AND('Calc Engine'!$B$129="Direct Wall Thickness / NDT",OR('Calc Engine'!$B$19&lt;='Calc Engine'!CP15,AND(ISNUMBER('Calc Engine'!CQ15),'Calc Engine'!CQ15&lt;=0.25)))),"RED",IF(OR(D15*(1-'Calc Engine'!$B$112)&lt;='Assumptions &amp; Method'!$B$8,AND('Calc Engine'!$B$129="Direct Wall Thickness / NDT",ISNUMBER('Calc Engine'!CQ15),'Calc Engine'!CQ15&lt;=0.5)),"AMBER","GREEN")))</f>
        <v>AMBER</v>
      </c>
    </row>
    <row r="16" spans="1:16" ht="15">
      <c r="A16" s="106">
        <f>IF(Dashboard!$B$2="Metric",110,110/'Unit Selection'!$E$7)</f>
        <v>110</v>
      </c>
      <c r="B16" s="106">
        <f>IF(OR('Calc Engine'!$B$143="INVALID",NOT(ISNUMBER(Dashboard!$B$17))),"",A16+Dashboard!$B$17)</f>
        <v>112</v>
      </c>
      <c r="C16" s="107">
        <f>IF(NOT(ISNUMBER(B16)),"",IF('Calc Engine'!$I$2="Metallic",EXP(-('Calc Engine'!CU16-IF('Calc Engine'!CN16&lt;'Assumptions &amp; Method'!$F$35,'Calc Engine'!$L$31,0))*(((IF(Dashboard!$B$2="Metric",B16,B16*'Unit Selection'!$E$7))/'Assumptions &amp; Method'!$F$35)-1)),MAX(0,1-POWER('Calc Engine'!$I$4,'Calc Engine'!$I$10)*'Calc Engine'!$I$7*'Calc Engine'!$I$8*'Calc Engine'!$I$9*MAX(0.5,1+1.5*POWER(MAX(0,((IF(Dashboard!$B$2="Metric",B16,B16*'Unit Selection'!$E$7))/MAX(0.01,'Calc Engine'!$B$36))-0.5),2)))))</f>
        <v>0.54888261769058921</v>
      </c>
      <c r="D16" s="106">
        <f>IF(NOT(ISNUMBER(C16)),"",IF('Calc Engine'!$I$2&lt;&gt;"Metallic",MAX(0,'Calc Engine'!$I$3*(1-'Calc Engine'!$I$4)*C16*'Calc Engine'!$I$18*'Calc Engine'!$I$19),MAX(0,MIN('Calc Engine'!CR16,'Calc Engine'!CR16*'Calc Engine'!CT16*C16*'Calc Engine'!$B$109))))</f>
        <v>12.246632301572371</v>
      </c>
      <c r="E16" s="106">
        <f>IF(NOT(ISNUMBER(D16)),"",MIN(100,MAX(0,100*POWER(1-MIN(1,D16/MAX(0.01,IF('Calc Engine'!$I$2="Metallic",'Calc Engine'!$L$2,'Calc Engine'!$I$3))),'Assumptions &amp; Method'!$F$41))))</f>
        <v>70.008625022116618</v>
      </c>
      <c r="F16" s="108" t="str">
        <f>IF(OR('Calc Engine'!$B$143="INVALID",NOT(ISNUMBER(D16))),"NOT ASSESSED",IF(OR(A16&lt;Dashboard!$B$26,D16*(1-'Calc Engine'!$B$112)&lt;='Assumptions &amp; Method'!$B$7,AND('Calc Engine'!$B$129="Direct Wall Thickness / NDT",OR('Calc Engine'!$B$19&lt;='Calc Engine'!CP16,AND(ISNUMBER('Calc Engine'!CQ16),'Calc Engine'!CQ16&lt;=0.25)))),"RED",IF(OR(D16*(1-'Calc Engine'!$B$112)&lt;='Assumptions &amp; Method'!$B$8,AND('Calc Engine'!$B$129="Direct Wall Thickness / NDT",ISNUMBER('Calc Engine'!CQ16),'Calc Engine'!CQ16&lt;=0.5)),"AMBER","GREEN")))</f>
        <v>AMBER</v>
      </c>
    </row>
    <row r="18" spans="1:16" ht="27.4" customHeight="1">
      <c r="A18" s="34" t="s">
        <v>117</v>
      </c>
      <c r="B18" s="35"/>
      <c r="C18" s="35"/>
      <c r="D18" s="35"/>
      <c r="E18" s="35"/>
      <c r="F18" s="35"/>
    </row>
    <row r="19" spans="1:16">
      <c r="A19" s="1" t="s">
        <v>118</v>
      </c>
      <c r="B19" s="119" t="s">
        <v>119</v>
      </c>
      <c r="C19" s="120"/>
      <c r="D19" s="120"/>
      <c r="E19" s="120"/>
      <c r="F19" s="120"/>
    </row>
    <row r="20" spans="1:16">
      <c r="A20" s="1" t="s">
        <v>120</v>
      </c>
      <c r="B20" s="119" t="s">
        <v>121</v>
      </c>
      <c r="C20" s="120"/>
      <c r="D20" s="120"/>
      <c r="E20" s="120"/>
      <c r="F20" s="120"/>
    </row>
    <row r="21" spans="1:16">
      <c r="A21" s="1" t="s">
        <v>122</v>
      </c>
      <c r="B21" s="117" t="str">
        <f>IF(Dashboard!$B$2="Metric","If records are entered, the normalized rate is shown as bursts/100 km/year.","If records are entered, the normalized rate is shown as bursts/100 miles/year and converted internally to bursts/100 km/year for classification.")</f>
        <v>If records are entered, the normalized rate is shown as bursts/100 km/year.</v>
      </c>
      <c r="C21" s="118"/>
      <c r="D21" s="118"/>
      <c r="E21" s="118"/>
      <c r="F21" s="118"/>
    </row>
    <row r="22" spans="1:16">
      <c r="A22" s="1" t="s">
        <v>123</v>
      </c>
      <c r="B22" s="119" t="s">
        <v>124</v>
      </c>
      <c r="C22" s="120"/>
      <c r="D22" s="120"/>
      <c r="E22" s="120"/>
      <c r="F22" s="120"/>
    </row>
    <row r="23" spans="1:16">
      <c r="A23" s="1" t="s">
        <v>125</v>
      </c>
      <c r="B23" s="119" t="s">
        <v>126</v>
      </c>
      <c r="C23" s="120"/>
      <c r="D23" s="120"/>
      <c r="E23" s="120"/>
      <c r="F23" s="120"/>
    </row>
    <row r="24" spans="1:16">
      <c r="A24" s="1" t="s">
        <v>127</v>
      </c>
      <c r="B24" s="119" t="s">
        <v>128</v>
      </c>
      <c r="C24" s="120"/>
      <c r="D24" s="120"/>
      <c r="E24" s="120"/>
      <c r="F24" s="120"/>
    </row>
    <row r="25" spans="1:16" ht="27.4" customHeight="1">
      <c r="A25" s="1" t="s">
        <v>129</v>
      </c>
      <c r="B25" s="119" t="s">
        <v>130</v>
      </c>
      <c r="C25" s="120"/>
      <c r="D25" s="120"/>
      <c r="E25" s="120"/>
      <c r="F25" s="120"/>
      <c r="H25" s="122" t="s">
        <v>131</v>
      </c>
      <c r="I25" s="120"/>
      <c r="J25" s="120"/>
      <c r="K25" s="120"/>
      <c r="L25" s="120"/>
      <c r="M25" s="120"/>
      <c r="N25" s="120"/>
      <c r="O25" s="120"/>
      <c r="P25" s="120"/>
    </row>
    <row r="26" spans="1:16" ht="15">
      <c r="H26" s="124" t="str">
        <f>"Operating pressure ("&amp;IF(Dashboard!$B$2="Metric","m head","psi")&amp;") | Relative risk index (0–100)"</f>
        <v>Operating pressure (m head) | Relative risk index (0–100)</v>
      </c>
      <c r="I26" s="118"/>
      <c r="J26" s="118"/>
      <c r="K26" s="118"/>
      <c r="L26" s="118"/>
      <c r="M26" s="118"/>
      <c r="N26" s="118"/>
      <c r="O26" s="118"/>
      <c r="P26" s="118"/>
    </row>
    <row r="27" spans="1:16">
      <c r="A27" s="1" t="s">
        <v>132</v>
      </c>
      <c r="B27" s="121" t="s">
        <v>133</v>
      </c>
      <c r="C27" s="120"/>
      <c r="D27" s="120"/>
      <c r="E27" s="120"/>
      <c r="F27" s="120"/>
    </row>
    <row r="28" spans="1:16" ht="28.5">
      <c r="A28" s="1" t="s">
        <v>134</v>
      </c>
      <c r="B28" s="121" t="s">
        <v>135</v>
      </c>
      <c r="C28" s="120"/>
      <c r="D28" s="120"/>
      <c r="E28" s="120"/>
      <c r="F28" s="120"/>
    </row>
    <row r="29" spans="1:16" ht="27.4" customHeight="1">
      <c r="A29" s="1" t="s">
        <v>136</v>
      </c>
      <c r="B29" s="121" t="s">
        <v>137</v>
      </c>
      <c r="C29" s="120"/>
      <c r="D29" s="120"/>
      <c r="E29" s="120"/>
      <c r="F29" s="120"/>
    </row>
    <row r="30" spans="1:16">
      <c r="A30" s="1" t="s">
        <v>138</v>
      </c>
      <c r="B30" s="121" t="s">
        <v>139</v>
      </c>
      <c r="C30" s="120"/>
      <c r="D30" s="120"/>
      <c r="E30" s="120"/>
      <c r="F30" s="120"/>
    </row>
    <row r="31" spans="1:16">
      <c r="A31" s="1" t="s">
        <v>140</v>
      </c>
      <c r="B31" s="121" t="s">
        <v>141</v>
      </c>
      <c r="C31" s="120"/>
      <c r="D31" s="120"/>
      <c r="E31" s="120"/>
      <c r="F31" s="120"/>
    </row>
    <row r="32" spans="1:16">
      <c r="A32" s="1" t="s">
        <v>142</v>
      </c>
      <c r="B32" s="121" t="s">
        <v>143</v>
      </c>
      <c r="C32" s="120"/>
      <c r="D32" s="120"/>
      <c r="E32" s="120"/>
      <c r="F32" s="120"/>
    </row>
  </sheetData>
  <sheetProtection password="FE3F" sheet="1" objects="1" scenarios="1" formatRows="0"/>
  <mergeCells count="19">
    <mergeCell ref="H3:P3"/>
    <mergeCell ref="B29:F29"/>
    <mergeCell ref="B28:F28"/>
    <mergeCell ref="H5:P5"/>
    <mergeCell ref="B19:F19"/>
    <mergeCell ref="H26:P26"/>
    <mergeCell ref="B24:F24"/>
    <mergeCell ref="B20:F20"/>
    <mergeCell ref="H4:P4"/>
    <mergeCell ref="B25:F25"/>
    <mergeCell ref="B22:F22"/>
    <mergeCell ref="A3:F3"/>
    <mergeCell ref="B27:F27"/>
    <mergeCell ref="B21:F21"/>
    <mergeCell ref="B23:F23"/>
    <mergeCell ref="B30:F30"/>
    <mergeCell ref="B32:F32"/>
    <mergeCell ref="H25:P25"/>
    <mergeCell ref="B31:F31"/>
  </mergeCells>
  <conditionalFormatting sqref="F6:F16">
    <cfRule type="expression" dxfId="2" priority="1">
      <formula>F6="GREEN"</formula>
    </cfRule>
    <cfRule type="expression" dxfId="1" priority="2">
      <formula>F6="AMBER"</formula>
    </cfRule>
    <cfRule type="expression" dxfId="0" priority="3">
      <formula>F6="RED"</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69"/>
  <sheetViews>
    <sheetView tabSelected="1" zoomScale="78" zoomScaleNormal="78" workbookViewId="0">
      <selection activeCell="B2" sqref="B2"/>
    </sheetView>
  </sheetViews>
  <sheetFormatPr defaultRowHeight="14.25"/>
  <cols>
    <col min="1" max="1" width="28" customWidth="1"/>
    <col min="2" max="2" width="90.25" customWidth="1"/>
    <col min="3" max="3" width="67.25" customWidth="1"/>
    <col min="4" max="4" width="34.5" customWidth="1"/>
    <col min="5" max="5" width="76" customWidth="1"/>
    <col min="6" max="6" width="58" customWidth="1"/>
  </cols>
  <sheetData>
    <row r="1" spans="1:6" ht="20.100000000000001" customHeight="1">
      <c r="A1" s="153" t="s">
        <v>144</v>
      </c>
      <c r="B1" s="120"/>
      <c r="C1" s="120"/>
      <c r="D1" s="120"/>
      <c r="E1" s="120"/>
      <c r="F1" s="120"/>
    </row>
    <row r="2" spans="1:6" ht="70.5" customHeight="1">
      <c r="A2" s="1" t="s">
        <v>145</v>
      </c>
      <c r="B2" s="1" t="s">
        <v>146</v>
      </c>
      <c r="C2" s="26"/>
      <c r="D2" s="10"/>
      <c r="E2" s="1"/>
      <c r="F2" s="10" t="s">
        <v>147</v>
      </c>
    </row>
    <row r="3" spans="1:6" ht="33.75" customHeight="1">
      <c r="A3" s="12" t="s">
        <v>148</v>
      </c>
      <c r="B3" s="25">
        <v>46276</v>
      </c>
      <c r="C3" s="12" t="s">
        <v>149</v>
      </c>
      <c r="D3" s="5" t="s">
        <v>150</v>
      </c>
      <c r="E3" s="12" t="s">
        <v>151</v>
      </c>
      <c r="F3" s="12" t="s">
        <v>152</v>
      </c>
    </row>
    <row r="4" spans="1:6" ht="63" customHeight="1">
      <c r="A4" s="1" t="s">
        <v>153</v>
      </c>
      <c r="B4" s="1" t="s">
        <v>154</v>
      </c>
      <c r="C4" s="1"/>
      <c r="D4" s="1"/>
      <c r="E4" s="1"/>
      <c r="F4" s="1"/>
    </row>
    <row r="5" spans="1:6" ht="21.75" customHeight="1">
      <c r="A5" s="1" t="s">
        <v>155</v>
      </c>
      <c r="B5" s="1" t="s">
        <v>156</v>
      </c>
      <c r="C5" s="1"/>
      <c r="D5" s="1"/>
      <c r="E5" s="1"/>
      <c r="F5" s="1"/>
    </row>
    <row r="6" spans="1:6" ht="36" customHeight="1">
      <c r="A6" s="1" t="s">
        <v>157</v>
      </c>
      <c r="B6" s="1" t="s">
        <v>158</v>
      </c>
      <c r="C6" s="1"/>
      <c r="D6" s="1"/>
      <c r="E6" s="1"/>
      <c r="F6" s="1"/>
    </row>
    <row r="7" spans="1:6" ht="54.75" customHeight="1">
      <c r="A7" s="1" t="s">
        <v>159</v>
      </c>
      <c r="B7" s="1" t="s">
        <v>160</v>
      </c>
      <c r="C7" s="1"/>
      <c r="D7" s="1"/>
      <c r="E7" s="1"/>
      <c r="F7" s="1"/>
    </row>
    <row r="8" spans="1:6" ht="48.75" customHeight="1">
      <c r="A8" s="1" t="s">
        <v>26</v>
      </c>
      <c r="B8" s="1" t="s">
        <v>161</v>
      </c>
      <c r="C8" s="1" t="s">
        <v>162</v>
      </c>
      <c r="D8" s="1" t="s">
        <v>163</v>
      </c>
      <c r="E8" s="1" t="s">
        <v>164</v>
      </c>
      <c r="F8" s="1" t="s">
        <v>165</v>
      </c>
    </row>
    <row r="9" spans="1:6" ht="41.1" customHeight="1">
      <c r="A9" s="1" t="s">
        <v>166</v>
      </c>
      <c r="B9" s="1" t="s">
        <v>167</v>
      </c>
      <c r="C9" s="1" t="s">
        <v>168</v>
      </c>
      <c r="D9" s="1" t="s">
        <v>169</v>
      </c>
      <c r="E9" s="1" t="s">
        <v>170</v>
      </c>
      <c r="F9" s="1" t="s">
        <v>171</v>
      </c>
    </row>
    <row r="10" spans="1:6" ht="79.5" customHeight="1">
      <c r="A10" s="1" t="s">
        <v>172</v>
      </c>
      <c r="B10" s="1" t="s">
        <v>173</v>
      </c>
      <c r="C10" s="1" t="s">
        <v>174</v>
      </c>
      <c r="D10" s="1" t="s">
        <v>175</v>
      </c>
      <c r="E10" s="1" t="s">
        <v>176</v>
      </c>
      <c r="F10" s="1" t="s">
        <v>177</v>
      </c>
    </row>
    <row r="11" spans="1:6" ht="24" customHeight="1">
      <c r="A11" s="1" t="s">
        <v>29</v>
      </c>
      <c r="B11" s="1" t="s">
        <v>178</v>
      </c>
      <c r="C11" s="1" t="s">
        <v>179</v>
      </c>
      <c r="D11" s="1" t="s">
        <v>180</v>
      </c>
      <c r="E11" s="1" t="s">
        <v>181</v>
      </c>
      <c r="F11" s="1" t="s">
        <v>182</v>
      </c>
    </row>
    <row r="12" spans="1:6" ht="27.4" customHeight="1">
      <c r="A12" s="1" t="s">
        <v>30</v>
      </c>
      <c r="B12" s="1" t="s">
        <v>183</v>
      </c>
      <c r="C12" s="1" t="s">
        <v>184</v>
      </c>
      <c r="D12" s="1" t="s">
        <v>185</v>
      </c>
      <c r="E12" s="1" t="s">
        <v>181</v>
      </c>
      <c r="F12" s="1" t="s">
        <v>186</v>
      </c>
    </row>
    <row r="13" spans="1:6" ht="27.4" customHeight="1">
      <c r="A13" s="1" t="s">
        <v>31</v>
      </c>
      <c r="B13" s="1" t="s">
        <v>187</v>
      </c>
      <c r="C13" s="1" t="s">
        <v>188</v>
      </c>
      <c r="D13" s="1" t="s">
        <v>189</v>
      </c>
      <c r="E13" s="1" t="s">
        <v>190</v>
      </c>
      <c r="F13" s="1" t="s">
        <v>191</v>
      </c>
    </row>
    <row r="14" spans="1:6" ht="27.4" customHeight="1">
      <c r="A14" s="1" t="s">
        <v>34</v>
      </c>
      <c r="B14" s="1" t="s">
        <v>192</v>
      </c>
      <c r="C14" s="1" t="s">
        <v>193</v>
      </c>
      <c r="D14" s="1" t="s">
        <v>194</v>
      </c>
      <c r="E14" s="1" t="s">
        <v>195</v>
      </c>
      <c r="F14" s="1" t="s">
        <v>196</v>
      </c>
    </row>
    <row r="15" spans="1:6">
      <c r="A15" s="1" t="s">
        <v>36</v>
      </c>
      <c r="B15" s="1" t="s">
        <v>197</v>
      </c>
      <c r="C15" s="1" t="s">
        <v>198</v>
      </c>
      <c r="D15" s="1" t="s">
        <v>199</v>
      </c>
      <c r="E15" s="1" t="s">
        <v>181</v>
      </c>
      <c r="F15" s="1" t="s">
        <v>200</v>
      </c>
    </row>
    <row r="16" spans="1:6" ht="103.5" customHeight="1">
      <c r="A16" s="1" t="s">
        <v>37</v>
      </c>
      <c r="B16" s="1" t="s">
        <v>201</v>
      </c>
      <c r="C16" s="1" t="s">
        <v>202</v>
      </c>
      <c r="D16" s="1" t="s">
        <v>203</v>
      </c>
      <c r="E16" s="1" t="s">
        <v>204</v>
      </c>
      <c r="F16" s="1" t="s">
        <v>205</v>
      </c>
    </row>
    <row r="17" spans="1:6" ht="27.4" customHeight="1">
      <c r="A17" s="1" t="s">
        <v>40</v>
      </c>
      <c r="B17" s="1" t="s">
        <v>206</v>
      </c>
      <c r="C17" s="1" t="s">
        <v>207</v>
      </c>
      <c r="D17" s="1" t="s">
        <v>208</v>
      </c>
      <c r="E17" s="1" t="s">
        <v>209</v>
      </c>
      <c r="F17" s="1" t="s">
        <v>210</v>
      </c>
    </row>
    <row r="18" spans="1:6" ht="57.75" customHeight="1">
      <c r="A18" s="1" t="s">
        <v>41</v>
      </c>
      <c r="B18" s="1" t="s">
        <v>187</v>
      </c>
      <c r="C18" s="1" t="s">
        <v>211</v>
      </c>
      <c r="D18" s="1" t="s">
        <v>212</v>
      </c>
      <c r="E18" s="1" t="s">
        <v>213</v>
      </c>
      <c r="F18" s="1" t="s">
        <v>214</v>
      </c>
    </row>
    <row r="19" spans="1:6" ht="34.5" customHeight="1">
      <c r="A19" s="1" t="s">
        <v>44</v>
      </c>
      <c r="B19" s="1" t="s">
        <v>215</v>
      </c>
      <c r="C19" s="1" t="s">
        <v>216</v>
      </c>
      <c r="D19" s="1" t="s">
        <v>189</v>
      </c>
      <c r="E19" s="1" t="s">
        <v>213</v>
      </c>
      <c r="F19" s="1" t="s">
        <v>217</v>
      </c>
    </row>
    <row r="20" spans="1:6" ht="51.75" customHeight="1">
      <c r="A20" s="1" t="s">
        <v>218</v>
      </c>
      <c r="B20" s="1" t="s">
        <v>219</v>
      </c>
      <c r="C20" s="1" t="s">
        <v>220</v>
      </c>
      <c r="D20" s="1" t="s">
        <v>221</v>
      </c>
      <c r="E20" s="1" t="s">
        <v>222</v>
      </c>
      <c r="F20" s="1" t="s">
        <v>223</v>
      </c>
    </row>
    <row r="21" spans="1:6" ht="68.45" customHeight="1">
      <c r="A21" s="1" t="s">
        <v>224</v>
      </c>
      <c r="B21" s="1" t="s">
        <v>225</v>
      </c>
      <c r="C21" s="1" t="s">
        <v>226</v>
      </c>
      <c r="D21" s="1" t="s">
        <v>227</v>
      </c>
      <c r="E21" s="1" t="s">
        <v>228</v>
      </c>
      <c r="F21" s="1" t="s">
        <v>229</v>
      </c>
    </row>
    <row r="22" spans="1:6" ht="28.5">
      <c r="A22" s="1" t="s">
        <v>62</v>
      </c>
      <c r="B22" s="1" t="s">
        <v>230</v>
      </c>
      <c r="C22" s="1" t="s">
        <v>231</v>
      </c>
      <c r="D22" s="1" t="s">
        <v>227</v>
      </c>
      <c r="E22" s="1" t="s">
        <v>232</v>
      </c>
      <c r="F22" s="1" t="s">
        <v>233</v>
      </c>
    </row>
    <row r="23" spans="1:6" ht="35.25" customHeight="1">
      <c r="A23" s="1" t="s">
        <v>234</v>
      </c>
      <c r="B23" s="1" t="s">
        <v>235</v>
      </c>
      <c r="C23" s="1" t="s">
        <v>236</v>
      </c>
      <c r="D23" s="1" t="s">
        <v>227</v>
      </c>
      <c r="E23" s="1" t="s">
        <v>237</v>
      </c>
      <c r="F23" s="1" t="s">
        <v>238</v>
      </c>
    </row>
    <row r="24" spans="1:6" ht="100.5" customHeight="1">
      <c r="A24" s="1" t="s">
        <v>69</v>
      </c>
      <c r="B24" s="1" t="s">
        <v>239</v>
      </c>
      <c r="C24" s="1" t="s">
        <v>240</v>
      </c>
      <c r="D24" s="1" t="s">
        <v>221</v>
      </c>
      <c r="E24" s="1" t="s">
        <v>228</v>
      </c>
      <c r="F24" s="1" t="s">
        <v>241</v>
      </c>
    </row>
    <row r="25" spans="1:6" ht="95.65" customHeight="1">
      <c r="A25" s="5" t="s">
        <v>242</v>
      </c>
      <c r="B25" s="5" t="s">
        <v>243</v>
      </c>
      <c r="C25" s="5"/>
      <c r="D25" s="5"/>
      <c r="E25" s="5"/>
      <c r="F25" s="5" t="s">
        <v>244</v>
      </c>
    </row>
    <row r="26" spans="1:6" ht="62.25" customHeight="1">
      <c r="A26" s="1" t="s">
        <v>245</v>
      </c>
      <c r="B26" s="1" t="s">
        <v>246</v>
      </c>
      <c r="C26" s="1" t="s">
        <v>247</v>
      </c>
      <c r="D26" s="1" t="s">
        <v>248</v>
      </c>
      <c r="E26" s="1"/>
      <c r="F26" s="1"/>
    </row>
    <row r="27" spans="1:6" ht="68.45" customHeight="1">
      <c r="A27" s="1" t="s">
        <v>249</v>
      </c>
      <c r="B27" s="1" t="s">
        <v>250</v>
      </c>
      <c r="C27" s="1" t="s">
        <v>251</v>
      </c>
      <c r="D27" s="1" t="s">
        <v>252</v>
      </c>
      <c r="E27" s="1"/>
      <c r="F27" s="1" t="s">
        <v>253</v>
      </c>
    </row>
    <row r="28" spans="1:6" ht="28.5">
      <c r="A28" s="1" t="s">
        <v>254</v>
      </c>
      <c r="B28" s="1" t="s">
        <v>255</v>
      </c>
      <c r="C28" s="1" t="s">
        <v>256</v>
      </c>
      <c r="D28" s="1" t="s">
        <v>257</v>
      </c>
      <c r="E28" s="1"/>
      <c r="F28" s="1"/>
    </row>
    <row r="29" spans="1:6" ht="27.4" customHeight="1">
      <c r="A29" s="1" t="s">
        <v>258</v>
      </c>
      <c r="B29" s="1" t="s">
        <v>259</v>
      </c>
      <c r="C29" s="1" t="s">
        <v>260</v>
      </c>
      <c r="D29" s="1" t="s">
        <v>261</v>
      </c>
      <c r="E29" s="1"/>
      <c r="F29" s="1"/>
    </row>
    <row r="30" spans="1:6" ht="27.4" customHeight="1">
      <c r="A30" s="1" t="s">
        <v>262</v>
      </c>
      <c r="B30" s="1" t="s">
        <v>263</v>
      </c>
      <c r="C30" s="1" t="s">
        <v>264</v>
      </c>
      <c r="D30" s="1" t="s">
        <v>265</v>
      </c>
      <c r="E30" s="1"/>
      <c r="F30" s="1"/>
    </row>
    <row r="31" spans="1:6" ht="47.25" customHeight="1">
      <c r="A31" s="1" t="s">
        <v>266</v>
      </c>
      <c r="B31" s="1" t="s">
        <v>267</v>
      </c>
      <c r="C31" s="1" t="s">
        <v>268</v>
      </c>
      <c r="D31" s="1" t="s">
        <v>269</v>
      </c>
      <c r="E31" s="1" t="s">
        <v>270</v>
      </c>
      <c r="F31" s="1" t="s">
        <v>271</v>
      </c>
    </row>
    <row r="32" spans="1:6" ht="33.75" customHeight="1">
      <c r="A32" s="15" t="s">
        <v>272</v>
      </c>
      <c r="B32" s="15"/>
      <c r="C32" s="15"/>
      <c r="D32" s="15"/>
      <c r="E32" s="15"/>
      <c r="F32" s="15"/>
    </row>
    <row r="33" spans="1:6" ht="28.5">
      <c r="A33" s="1" t="s">
        <v>273</v>
      </c>
      <c r="B33" s="1" t="s">
        <v>274</v>
      </c>
      <c r="C33" s="1"/>
      <c r="D33" s="1"/>
      <c r="E33" s="1"/>
      <c r="F33" s="1"/>
    </row>
    <row r="34" spans="1:6" ht="34.5" customHeight="1">
      <c r="A34" s="1" t="s">
        <v>275</v>
      </c>
      <c r="B34" s="1" t="s">
        <v>276</v>
      </c>
      <c r="C34" s="1"/>
      <c r="D34" s="1"/>
      <c r="E34" s="1"/>
      <c r="F34" s="1"/>
    </row>
    <row r="35" spans="1:6" ht="81" customHeight="1">
      <c r="A35" s="1" t="s">
        <v>277</v>
      </c>
      <c r="B35" s="1" t="s">
        <v>278</v>
      </c>
      <c r="C35" s="1"/>
      <c r="D35" s="1"/>
      <c r="E35" s="1"/>
      <c r="F35" s="1"/>
    </row>
    <row r="36" spans="1:6" ht="36.75" customHeight="1">
      <c r="A36" s="5" t="s">
        <v>279</v>
      </c>
      <c r="B36" s="5"/>
      <c r="C36" s="5"/>
      <c r="D36" s="5"/>
      <c r="E36" s="5"/>
      <c r="F36" s="5"/>
    </row>
    <row r="37" spans="1:6" ht="36" customHeight="1">
      <c r="A37" s="1" t="s">
        <v>273</v>
      </c>
      <c r="B37" s="1" t="s">
        <v>280</v>
      </c>
      <c r="C37" s="1"/>
      <c r="D37" s="1"/>
      <c r="E37" s="1"/>
      <c r="F37" s="1"/>
    </row>
    <row r="38" spans="1:6" ht="49.5" customHeight="1">
      <c r="A38" s="1" t="s">
        <v>275</v>
      </c>
      <c r="B38" s="1" t="s">
        <v>281</v>
      </c>
      <c r="C38" s="1"/>
      <c r="D38" s="1"/>
      <c r="E38" s="1"/>
      <c r="F38" s="1"/>
    </row>
    <row r="39" spans="1:6" ht="50.25" customHeight="1">
      <c r="A39" s="5" t="s">
        <v>282</v>
      </c>
      <c r="B39" s="5"/>
      <c r="C39" s="5"/>
      <c r="D39" s="5"/>
      <c r="E39" s="5"/>
      <c r="F39" s="5"/>
    </row>
    <row r="40" spans="1:6" ht="33.75" customHeight="1">
      <c r="A40" s="1" t="s">
        <v>273</v>
      </c>
      <c r="B40" s="27" t="s">
        <v>283</v>
      </c>
      <c r="C40" s="1"/>
      <c r="D40" s="1"/>
      <c r="E40" s="1"/>
      <c r="F40" s="1"/>
    </row>
    <row r="41" spans="1:6" ht="42" customHeight="1">
      <c r="A41" s="1" t="s">
        <v>275</v>
      </c>
      <c r="B41" s="27" t="s">
        <v>284</v>
      </c>
      <c r="C41" s="1"/>
      <c r="D41" s="1"/>
      <c r="E41" s="1"/>
      <c r="F41" s="1"/>
    </row>
    <row r="42" spans="1:6" ht="41.1" customHeight="1">
      <c r="A42" s="1" t="s">
        <v>277</v>
      </c>
      <c r="B42" s="27" t="s">
        <v>285</v>
      </c>
      <c r="C42" s="1"/>
      <c r="D42" s="1"/>
      <c r="E42" s="1"/>
      <c r="F42" s="1"/>
    </row>
    <row r="43" spans="1:6" ht="41.1" customHeight="1">
      <c r="A43" s="1" t="s">
        <v>286</v>
      </c>
      <c r="B43" s="27" t="s">
        <v>287</v>
      </c>
      <c r="C43" s="1"/>
      <c r="D43" s="1"/>
      <c r="E43" s="1"/>
      <c r="F43" s="1"/>
    </row>
    <row r="44" spans="1:6" ht="41.1" customHeight="1">
      <c r="A44" s="1" t="s">
        <v>288</v>
      </c>
      <c r="B44" s="27" t="s">
        <v>289</v>
      </c>
      <c r="C44" s="1"/>
      <c r="D44" s="1"/>
      <c r="E44" s="1"/>
      <c r="F44" s="1"/>
    </row>
    <row r="45" spans="1:6" ht="54.75" customHeight="1">
      <c r="A45" s="1" t="s">
        <v>290</v>
      </c>
      <c r="B45" s="27" t="s">
        <v>291</v>
      </c>
      <c r="C45" s="1"/>
      <c r="D45" s="1"/>
      <c r="E45" s="1"/>
      <c r="F45" s="1"/>
    </row>
    <row r="46" spans="1:6" ht="37.5" customHeight="1">
      <c r="A46" s="5" t="s">
        <v>292</v>
      </c>
      <c r="B46" s="5"/>
      <c r="C46" s="5"/>
      <c r="D46" s="5"/>
      <c r="E46" s="5"/>
      <c r="F46" s="5"/>
    </row>
    <row r="47" spans="1:6" ht="68.25" customHeight="1">
      <c r="A47" s="1" t="s">
        <v>273</v>
      </c>
      <c r="B47" s="1" t="s">
        <v>293</v>
      </c>
      <c r="C47" s="1"/>
      <c r="D47" s="1"/>
      <c r="E47" s="1"/>
      <c r="F47" s="1"/>
    </row>
    <row r="48" spans="1:6" ht="81.75" customHeight="1">
      <c r="A48" s="1" t="s">
        <v>275</v>
      </c>
      <c r="B48" s="1" t="s">
        <v>294</v>
      </c>
      <c r="C48" s="1"/>
      <c r="D48" s="1"/>
      <c r="E48" s="1"/>
      <c r="F48" s="1"/>
    </row>
    <row r="49" spans="1:6" ht="77.25" customHeight="1">
      <c r="A49" s="1" t="s">
        <v>277</v>
      </c>
      <c r="B49" s="1" t="s">
        <v>295</v>
      </c>
      <c r="C49" s="1"/>
      <c r="D49" s="1"/>
      <c r="E49" s="1"/>
      <c r="F49" s="1"/>
    </row>
    <row r="50" spans="1:6" ht="53.25" customHeight="1">
      <c r="A50" s="1" t="s">
        <v>286</v>
      </c>
      <c r="B50" s="1" t="s">
        <v>296</v>
      </c>
      <c r="C50" s="1"/>
      <c r="D50" s="1"/>
      <c r="E50" s="1"/>
      <c r="F50" s="1"/>
    </row>
    <row r="51" spans="1:6" ht="63.75" customHeight="1">
      <c r="A51" s="1" t="s">
        <v>288</v>
      </c>
      <c r="B51" s="1" t="s">
        <v>297</v>
      </c>
      <c r="C51" s="1"/>
      <c r="D51" s="1"/>
      <c r="E51" s="1"/>
      <c r="F51" s="1"/>
    </row>
    <row r="52" spans="1:6" ht="47.25" customHeight="1">
      <c r="A52" s="1" t="s">
        <v>298</v>
      </c>
      <c r="B52" s="1" t="s">
        <v>299</v>
      </c>
      <c r="C52" s="1" t="s">
        <v>300</v>
      </c>
      <c r="D52" s="1"/>
      <c r="E52" s="1" t="s">
        <v>301</v>
      </c>
      <c r="F52" s="1"/>
    </row>
    <row r="53" spans="1:6" ht="48" customHeight="1">
      <c r="A53" s="9" t="s">
        <v>302</v>
      </c>
      <c r="B53" s="9"/>
      <c r="C53" s="9"/>
      <c r="D53" s="9"/>
      <c r="E53" s="9"/>
      <c r="F53" s="9"/>
    </row>
    <row r="54" spans="1:6" ht="27.4" customHeight="1">
      <c r="A54" s="1" t="s">
        <v>273</v>
      </c>
      <c r="B54" s="1" t="s">
        <v>303</v>
      </c>
      <c r="C54" s="1"/>
      <c r="D54" s="1"/>
      <c r="E54" s="1"/>
      <c r="F54" s="1"/>
    </row>
    <row r="55" spans="1:6" ht="36" customHeight="1">
      <c r="A55" s="1" t="s">
        <v>275</v>
      </c>
      <c r="B55" s="1" t="s">
        <v>304</v>
      </c>
      <c r="C55" s="1"/>
      <c r="D55" s="1"/>
      <c r="E55" s="1"/>
      <c r="F55" s="1"/>
    </row>
    <row r="56" spans="1:6" ht="19.5" customHeight="1">
      <c r="A56" s="1" t="s">
        <v>277</v>
      </c>
      <c r="B56" s="1" t="s">
        <v>305</v>
      </c>
      <c r="C56" s="1"/>
      <c r="D56" s="1"/>
      <c r="E56" s="1"/>
      <c r="F56" s="1"/>
    </row>
    <row r="57" spans="1:6" ht="30.75" customHeight="1">
      <c r="A57" s="1" t="s">
        <v>286</v>
      </c>
      <c r="B57" s="1" t="s">
        <v>306</v>
      </c>
      <c r="C57" s="1"/>
      <c r="D57" s="1"/>
      <c r="E57" s="1"/>
      <c r="F57" s="1"/>
    </row>
    <row r="58" spans="1:6" ht="29.25" customHeight="1">
      <c r="A58" s="1" t="s">
        <v>288</v>
      </c>
      <c r="B58" s="1" t="s">
        <v>307</v>
      </c>
      <c r="C58" s="1"/>
      <c r="D58" s="1"/>
      <c r="E58" s="1"/>
      <c r="F58" s="1"/>
    </row>
    <row r="59" spans="1:6" ht="27.4" customHeight="1">
      <c r="A59" s="1" t="s">
        <v>290</v>
      </c>
      <c r="B59" s="1" t="s">
        <v>308</v>
      </c>
      <c r="C59" s="1"/>
      <c r="D59" s="1"/>
      <c r="E59" s="1"/>
      <c r="F59" s="1"/>
    </row>
    <row r="60" spans="1:6" ht="39.75" customHeight="1">
      <c r="A60" s="5" t="s">
        <v>309</v>
      </c>
      <c r="B60" s="5"/>
      <c r="C60" s="5"/>
      <c r="D60" s="5"/>
      <c r="E60" s="5"/>
      <c r="F60" s="5"/>
    </row>
    <row r="61" spans="1:6" ht="41.1" customHeight="1">
      <c r="A61" s="1" t="s">
        <v>273</v>
      </c>
      <c r="B61" s="1" t="s">
        <v>310</v>
      </c>
      <c r="C61" s="1"/>
      <c r="D61" s="1"/>
      <c r="E61" s="1"/>
      <c r="F61" s="1"/>
    </row>
    <row r="62" spans="1:6">
      <c r="A62" s="1"/>
      <c r="B62" s="1"/>
      <c r="C62" s="1"/>
      <c r="D62" s="1"/>
      <c r="E62" s="1"/>
      <c r="F62" s="1"/>
    </row>
    <row r="63" spans="1:6" ht="39.75" customHeight="1">
      <c r="A63" s="5" t="s">
        <v>311</v>
      </c>
      <c r="B63" s="5"/>
      <c r="C63" s="5"/>
      <c r="D63" s="5"/>
      <c r="E63" s="5"/>
      <c r="F63" s="5"/>
    </row>
    <row r="64" spans="1:6">
      <c r="A64" s="1" t="s">
        <v>273</v>
      </c>
      <c r="B64" s="1" t="s">
        <v>312</v>
      </c>
      <c r="C64" s="1"/>
      <c r="D64" s="1"/>
      <c r="E64" s="1"/>
      <c r="F64" s="1"/>
    </row>
    <row r="65" spans="1:6" ht="27.4" customHeight="1">
      <c r="A65" s="1" t="s">
        <v>275</v>
      </c>
      <c r="B65" s="1" t="s">
        <v>313</v>
      </c>
      <c r="C65" s="1"/>
      <c r="D65" s="1"/>
      <c r="E65" s="1"/>
      <c r="F65" s="1"/>
    </row>
    <row r="66" spans="1:6" ht="27.4" customHeight="1">
      <c r="A66" s="1" t="s">
        <v>277</v>
      </c>
      <c r="B66" s="1" t="s">
        <v>314</v>
      </c>
      <c r="C66" s="1"/>
      <c r="D66" s="1"/>
      <c r="E66" s="1"/>
      <c r="F66" s="1"/>
    </row>
    <row r="67" spans="1:6" ht="27.4" customHeight="1">
      <c r="A67" s="1" t="s">
        <v>286</v>
      </c>
      <c r="B67" s="1" t="s">
        <v>315</v>
      </c>
      <c r="C67" s="1"/>
      <c r="D67" s="1"/>
      <c r="E67" s="1"/>
      <c r="F67" s="1"/>
    </row>
    <row r="68" spans="1:6">
      <c r="A68" s="1"/>
      <c r="B68" s="1"/>
      <c r="C68" s="1"/>
      <c r="D68" s="1"/>
      <c r="E68" s="1"/>
      <c r="F68" s="1"/>
    </row>
    <row r="69" spans="1:6" ht="36.75" customHeight="1">
      <c r="A69" s="5" t="s">
        <v>316</v>
      </c>
      <c r="B69" s="5"/>
      <c r="C69" s="5"/>
      <c r="D69" s="5"/>
      <c r="E69" s="5"/>
      <c r="F69" s="5"/>
    </row>
    <row r="70" spans="1:6">
      <c r="A70" s="1" t="s">
        <v>273</v>
      </c>
      <c r="B70" s="1" t="s">
        <v>317</v>
      </c>
      <c r="C70" s="1"/>
      <c r="D70" s="1"/>
      <c r="E70" s="1"/>
      <c r="F70" s="1"/>
    </row>
    <row r="71" spans="1:6" ht="45.75" customHeight="1">
      <c r="A71" s="1" t="s">
        <v>275</v>
      </c>
      <c r="B71" s="1" t="s">
        <v>318</v>
      </c>
      <c r="C71" s="1"/>
      <c r="D71" s="1"/>
      <c r="E71" s="1"/>
      <c r="F71" s="1"/>
    </row>
    <row r="72" spans="1:6" ht="30.75" customHeight="1">
      <c r="A72" s="1" t="s">
        <v>277</v>
      </c>
      <c r="B72" s="1" t="s">
        <v>319</v>
      </c>
      <c r="C72" s="1"/>
      <c r="D72" s="1"/>
      <c r="E72" s="1"/>
      <c r="F72" s="1"/>
    </row>
    <row r="73" spans="1:6" ht="45.75" customHeight="1">
      <c r="A73" s="1" t="s">
        <v>286</v>
      </c>
      <c r="B73" s="1" t="s">
        <v>320</v>
      </c>
      <c r="C73" s="1"/>
      <c r="D73" s="1"/>
      <c r="E73" s="1"/>
      <c r="F73" s="1"/>
    </row>
    <row r="74" spans="1:6" ht="27.4" customHeight="1">
      <c r="A74" s="1" t="s">
        <v>288</v>
      </c>
      <c r="B74" s="1" t="s">
        <v>321</v>
      </c>
      <c r="C74" s="1"/>
      <c r="D74" s="1"/>
      <c r="E74" s="1"/>
      <c r="F74" s="1"/>
    </row>
    <row r="75" spans="1:6" ht="40.5" customHeight="1">
      <c r="A75" s="5" t="s">
        <v>322</v>
      </c>
      <c r="B75" s="5"/>
      <c r="C75" s="5"/>
      <c r="D75" s="5"/>
      <c r="E75" s="5"/>
      <c r="F75" s="5"/>
    </row>
    <row r="76" spans="1:6" ht="32.25" customHeight="1">
      <c r="A76" s="1" t="s">
        <v>273</v>
      </c>
      <c r="B76" s="1" t="s">
        <v>323</v>
      </c>
      <c r="C76" s="1"/>
      <c r="D76" s="1"/>
      <c r="E76" s="1"/>
      <c r="F76" s="1"/>
    </row>
    <row r="77" spans="1:6" ht="69.75" customHeight="1">
      <c r="A77" s="1" t="s">
        <v>275</v>
      </c>
      <c r="B77" s="1" t="s">
        <v>324</v>
      </c>
      <c r="C77" s="1"/>
      <c r="D77" s="1"/>
      <c r="E77" s="1"/>
      <c r="F77" s="1"/>
    </row>
    <row r="78" spans="1:6" ht="47.25" customHeight="1">
      <c r="A78" s="1" t="s">
        <v>277</v>
      </c>
      <c r="B78" s="1" t="s">
        <v>325</v>
      </c>
      <c r="C78" s="1"/>
      <c r="D78" s="1"/>
      <c r="E78" s="1"/>
      <c r="F78" s="1"/>
    </row>
    <row r="79" spans="1:6" ht="34.5" customHeight="1">
      <c r="A79" s="1" t="s">
        <v>286</v>
      </c>
      <c r="B79" s="1" t="s">
        <v>326</v>
      </c>
      <c r="C79" s="1"/>
      <c r="D79" s="1"/>
      <c r="E79" s="1"/>
      <c r="F79" s="1"/>
    </row>
    <row r="80" spans="1:6">
      <c r="A80" s="1"/>
      <c r="B80" s="1"/>
      <c r="C80" s="1"/>
      <c r="D80" s="1"/>
      <c r="E80" s="1"/>
      <c r="F80" s="1"/>
    </row>
    <row r="81" spans="1:6" ht="38.25" customHeight="1">
      <c r="A81" s="5" t="s">
        <v>327</v>
      </c>
      <c r="B81" s="5"/>
      <c r="C81" s="5"/>
      <c r="D81" s="5"/>
      <c r="E81" s="5"/>
      <c r="F81" s="5"/>
    </row>
    <row r="82" spans="1:6">
      <c r="A82" s="1" t="s">
        <v>328</v>
      </c>
      <c r="B82" s="1" t="s">
        <v>329</v>
      </c>
      <c r="C82" s="1" t="s">
        <v>330</v>
      </c>
      <c r="D82" s="1" t="s">
        <v>331</v>
      </c>
      <c r="E82" s="1" t="s">
        <v>332</v>
      </c>
      <c r="F82" s="1" t="s">
        <v>333</v>
      </c>
    </row>
    <row r="83" spans="1:6">
      <c r="A83" s="1" t="s">
        <v>8</v>
      </c>
      <c r="B83" s="1" t="s">
        <v>334</v>
      </c>
      <c r="C83" s="1" t="s">
        <v>330</v>
      </c>
      <c r="D83" s="1" t="s">
        <v>335</v>
      </c>
      <c r="E83" s="1" t="s">
        <v>332</v>
      </c>
      <c r="F83" s="1" t="s">
        <v>336</v>
      </c>
    </row>
    <row r="84" spans="1:6" ht="27.4" customHeight="1">
      <c r="A84" s="1" t="s">
        <v>10</v>
      </c>
      <c r="B84" s="1" t="s">
        <v>337</v>
      </c>
      <c r="C84" s="1" t="s">
        <v>338</v>
      </c>
      <c r="D84" s="1" t="s">
        <v>339</v>
      </c>
      <c r="E84" s="1" t="s">
        <v>340</v>
      </c>
      <c r="F84" s="1" t="s">
        <v>341</v>
      </c>
    </row>
    <row r="85" spans="1:6" ht="27.4" customHeight="1">
      <c r="A85" s="1" t="s">
        <v>47</v>
      </c>
      <c r="B85" s="1" t="s">
        <v>342</v>
      </c>
      <c r="C85" s="1" t="s">
        <v>343</v>
      </c>
      <c r="D85" s="1" t="s">
        <v>344</v>
      </c>
      <c r="E85" s="1" t="s">
        <v>345</v>
      </c>
      <c r="F85" s="1" t="s">
        <v>346</v>
      </c>
    </row>
    <row r="86" spans="1:6" ht="28.5">
      <c r="A86" s="1" t="s">
        <v>50</v>
      </c>
      <c r="B86" s="1" t="s">
        <v>347</v>
      </c>
      <c r="C86" s="1" t="s">
        <v>348</v>
      </c>
      <c r="D86" s="1" t="s">
        <v>349</v>
      </c>
      <c r="E86" s="1" t="s">
        <v>350</v>
      </c>
      <c r="F86" s="1" t="s">
        <v>351</v>
      </c>
    </row>
    <row r="87" spans="1:6">
      <c r="A87" s="1" t="s">
        <v>52</v>
      </c>
      <c r="B87" s="1" t="s">
        <v>352</v>
      </c>
      <c r="C87" s="1" t="s">
        <v>353</v>
      </c>
      <c r="D87" s="1" t="s">
        <v>354</v>
      </c>
      <c r="E87" s="1" t="s">
        <v>350</v>
      </c>
      <c r="F87" s="1" t="s">
        <v>355</v>
      </c>
    </row>
    <row r="88" spans="1:6" ht="41.1" customHeight="1">
      <c r="A88" s="1" t="s">
        <v>63</v>
      </c>
      <c r="B88" s="1" t="s">
        <v>356</v>
      </c>
      <c r="C88" s="1" t="s">
        <v>357</v>
      </c>
      <c r="D88" s="1" t="s">
        <v>358</v>
      </c>
      <c r="E88" s="1" t="s">
        <v>359</v>
      </c>
      <c r="F88" s="1" t="s">
        <v>360</v>
      </c>
    </row>
    <row r="89" spans="1:6" ht="41.1" customHeight="1">
      <c r="A89" s="1" t="s">
        <v>361</v>
      </c>
      <c r="B89" s="1" t="s">
        <v>362</v>
      </c>
      <c r="C89" s="1" t="s">
        <v>363</v>
      </c>
      <c r="D89" s="1" t="s">
        <v>227</v>
      </c>
      <c r="E89" s="1" t="s">
        <v>364</v>
      </c>
      <c r="F89" s="1" t="s">
        <v>365</v>
      </c>
    </row>
    <row r="90" spans="1:6" ht="36" customHeight="1">
      <c r="A90" s="5" t="s">
        <v>366</v>
      </c>
      <c r="B90" s="5"/>
      <c r="C90" s="5"/>
      <c r="D90" s="5"/>
      <c r="E90" s="5"/>
      <c r="F90" s="5"/>
    </row>
    <row r="91" spans="1:6" ht="27.4" customHeight="1">
      <c r="A91" s="1" t="s">
        <v>48</v>
      </c>
      <c r="B91" s="1" t="s">
        <v>367</v>
      </c>
      <c r="C91" s="1" t="s">
        <v>368</v>
      </c>
      <c r="D91" s="1" t="s">
        <v>369</v>
      </c>
      <c r="E91" s="1" t="s">
        <v>370</v>
      </c>
      <c r="F91" s="1" t="s">
        <v>371</v>
      </c>
    </row>
    <row r="92" spans="1:6">
      <c r="A92" s="1" t="s">
        <v>372</v>
      </c>
      <c r="B92" s="1" t="s">
        <v>373</v>
      </c>
      <c r="C92" s="1" t="s">
        <v>374</v>
      </c>
      <c r="D92" s="1" t="s">
        <v>375</v>
      </c>
      <c r="E92" s="1" t="s">
        <v>376</v>
      </c>
      <c r="F92" s="1" t="s">
        <v>377</v>
      </c>
    </row>
    <row r="93" spans="1:6">
      <c r="A93" s="1" t="s">
        <v>378</v>
      </c>
      <c r="B93" s="1" t="s">
        <v>379</v>
      </c>
      <c r="C93" s="1" t="s">
        <v>380</v>
      </c>
      <c r="D93" s="1" t="s">
        <v>375</v>
      </c>
      <c r="E93" s="1" t="s">
        <v>381</v>
      </c>
      <c r="F93" s="1" t="s">
        <v>382</v>
      </c>
    </row>
    <row r="94" spans="1:6">
      <c r="A94" s="1" t="s">
        <v>383</v>
      </c>
      <c r="B94" s="1" t="s">
        <v>384</v>
      </c>
      <c r="C94" s="1" t="s">
        <v>385</v>
      </c>
      <c r="D94" s="1" t="s">
        <v>375</v>
      </c>
      <c r="E94" s="1" t="s">
        <v>386</v>
      </c>
      <c r="F94" s="1" t="s">
        <v>382</v>
      </c>
    </row>
    <row r="95" spans="1:6" ht="27.4" customHeight="1">
      <c r="A95" s="1" t="s">
        <v>387</v>
      </c>
      <c r="B95" s="1" t="s">
        <v>388</v>
      </c>
      <c r="C95" s="1" t="s">
        <v>389</v>
      </c>
      <c r="D95" s="1" t="s">
        <v>375</v>
      </c>
      <c r="E95" s="1" t="s">
        <v>390</v>
      </c>
      <c r="F95" s="1" t="s">
        <v>391</v>
      </c>
    </row>
    <row r="96" spans="1:6">
      <c r="A96" s="1"/>
      <c r="B96" s="1"/>
      <c r="C96" s="1"/>
      <c r="D96" s="1"/>
      <c r="E96" s="1"/>
      <c r="F96" s="1"/>
    </row>
    <row r="97" spans="1:6">
      <c r="A97" s="1"/>
      <c r="B97" s="1"/>
      <c r="C97" s="1"/>
      <c r="D97" s="1"/>
      <c r="E97" s="1"/>
      <c r="F97" s="1"/>
    </row>
    <row r="98" spans="1:6" ht="42.75" customHeight="1">
      <c r="A98" s="11" t="s">
        <v>392</v>
      </c>
      <c r="B98" s="11"/>
      <c r="C98" s="11"/>
      <c r="D98" s="11"/>
      <c r="E98" s="11"/>
      <c r="F98" s="11"/>
    </row>
    <row r="99" spans="1:6" ht="36" customHeight="1">
      <c r="A99" s="1" t="s">
        <v>393</v>
      </c>
      <c r="B99" s="1" t="s">
        <v>394</v>
      </c>
      <c r="C99" s="1" t="s">
        <v>395</v>
      </c>
      <c r="D99" s="1" t="s">
        <v>396</v>
      </c>
      <c r="E99" s="1" t="s">
        <v>397</v>
      </c>
      <c r="F99" s="1" t="s">
        <v>398</v>
      </c>
    </row>
    <row r="100" spans="1:6" ht="37.5" customHeight="1">
      <c r="A100" s="1" t="s">
        <v>399</v>
      </c>
      <c r="B100" s="1" t="s">
        <v>400</v>
      </c>
      <c r="C100" s="1" t="s">
        <v>401</v>
      </c>
      <c r="D100" s="1" t="s">
        <v>402</v>
      </c>
      <c r="E100" s="1" t="s">
        <v>403</v>
      </c>
      <c r="F100" s="1" t="s">
        <v>404</v>
      </c>
    </row>
    <row r="101" spans="1:6" ht="54.75" customHeight="1">
      <c r="A101" s="1" t="s">
        <v>399</v>
      </c>
      <c r="B101" s="1" t="s">
        <v>400</v>
      </c>
      <c r="C101" s="1" t="s">
        <v>405</v>
      </c>
      <c r="D101" s="1" t="s">
        <v>402</v>
      </c>
      <c r="E101" s="1" t="s">
        <v>403</v>
      </c>
      <c r="F101" s="1" t="s">
        <v>404</v>
      </c>
    </row>
    <row r="102" spans="1:6" ht="27.4" customHeight="1">
      <c r="A102" s="1" t="s">
        <v>406</v>
      </c>
      <c r="B102" s="1" t="s">
        <v>407</v>
      </c>
      <c r="C102" s="1" t="s">
        <v>408</v>
      </c>
      <c r="D102" s="1" t="s">
        <v>409</v>
      </c>
      <c r="E102" s="1" t="s">
        <v>410</v>
      </c>
      <c r="F102" s="1" t="s">
        <v>411</v>
      </c>
    </row>
    <row r="103" spans="1:6" ht="27.4" customHeight="1">
      <c r="A103" s="1" t="s">
        <v>412</v>
      </c>
      <c r="B103" s="1" t="s">
        <v>413</v>
      </c>
      <c r="C103" s="1" t="s">
        <v>414</v>
      </c>
      <c r="D103" s="1" t="s">
        <v>415</v>
      </c>
      <c r="E103" s="1" t="s">
        <v>416</v>
      </c>
      <c r="F103" s="1" t="s">
        <v>417</v>
      </c>
    </row>
    <row r="104" spans="1:6" ht="27.4" customHeight="1">
      <c r="A104" s="1" t="s">
        <v>412</v>
      </c>
      <c r="B104" s="1" t="s">
        <v>418</v>
      </c>
      <c r="C104" s="1" t="s">
        <v>419</v>
      </c>
      <c r="D104" s="1" t="s">
        <v>420</v>
      </c>
      <c r="E104" s="1" t="s">
        <v>181</v>
      </c>
      <c r="F104" s="1" t="s">
        <v>421</v>
      </c>
    </row>
    <row r="105" spans="1:6">
      <c r="A105" s="1" t="s">
        <v>412</v>
      </c>
      <c r="B105" s="1" t="s">
        <v>422</v>
      </c>
      <c r="C105" s="1" t="s">
        <v>423</v>
      </c>
      <c r="D105" s="1" t="s">
        <v>424</v>
      </c>
      <c r="E105" s="1" t="s">
        <v>425</v>
      </c>
      <c r="F105" s="1" t="s">
        <v>426</v>
      </c>
    </row>
    <row r="106" spans="1:6" ht="27.4" customHeight="1">
      <c r="A106" s="1" t="s">
        <v>412</v>
      </c>
      <c r="B106" s="1" t="s">
        <v>427</v>
      </c>
      <c r="C106" s="1" t="s">
        <v>428</v>
      </c>
      <c r="D106" s="1" t="s">
        <v>429</v>
      </c>
      <c r="E106" s="1" t="s">
        <v>430</v>
      </c>
      <c r="F106" s="1" t="s">
        <v>431</v>
      </c>
    </row>
    <row r="107" spans="1:6">
      <c r="A107" s="1"/>
      <c r="B107" s="1"/>
      <c r="C107" s="1"/>
      <c r="D107" s="1"/>
      <c r="E107" s="1"/>
      <c r="F107" s="1"/>
    </row>
    <row r="108" spans="1:6" ht="41.1" customHeight="1">
      <c r="A108" s="11" t="s">
        <v>432</v>
      </c>
      <c r="B108" s="11"/>
      <c r="C108" s="11"/>
      <c r="D108" s="11"/>
      <c r="E108" s="11"/>
      <c r="F108" s="11"/>
    </row>
    <row r="109" spans="1:6">
      <c r="A109" s="1" t="s">
        <v>433</v>
      </c>
      <c r="B109" s="1" t="s">
        <v>434</v>
      </c>
      <c r="C109" s="1" t="s">
        <v>435</v>
      </c>
      <c r="D109" s="1" t="s">
        <v>436</v>
      </c>
      <c r="E109" s="1" t="s">
        <v>437</v>
      </c>
      <c r="F109" s="1" t="s">
        <v>438</v>
      </c>
    </row>
    <row r="110" spans="1:6">
      <c r="A110" s="1" t="s">
        <v>439</v>
      </c>
      <c r="B110" s="1" t="s">
        <v>440</v>
      </c>
      <c r="C110" s="1" t="s">
        <v>441</v>
      </c>
      <c r="D110" s="1" t="s">
        <v>442</v>
      </c>
      <c r="E110" s="1" t="s">
        <v>443</v>
      </c>
      <c r="F110" s="1"/>
    </row>
    <row r="111" spans="1:6">
      <c r="A111" s="1" t="s">
        <v>444</v>
      </c>
      <c r="B111" s="1" t="s">
        <v>445</v>
      </c>
      <c r="C111" s="1" t="s">
        <v>446</v>
      </c>
      <c r="D111" s="1" t="s">
        <v>447</v>
      </c>
      <c r="E111" s="1" t="s">
        <v>448</v>
      </c>
      <c r="F111" s="1"/>
    </row>
    <row r="112" spans="1:6" ht="28.5">
      <c r="A112" s="1" t="s">
        <v>449</v>
      </c>
      <c r="B112" s="1" t="s">
        <v>450</v>
      </c>
      <c r="C112" s="1" t="s">
        <v>451</v>
      </c>
      <c r="D112" s="1" t="s">
        <v>452</v>
      </c>
      <c r="E112" s="1" t="s">
        <v>453</v>
      </c>
      <c r="F112" s="1"/>
    </row>
    <row r="113" spans="1:6">
      <c r="A113" s="1" t="s">
        <v>454</v>
      </c>
      <c r="B113" s="1" t="s">
        <v>455</v>
      </c>
      <c r="C113" s="1" t="s">
        <v>396</v>
      </c>
      <c r="D113" s="1" t="s">
        <v>456</v>
      </c>
      <c r="E113" s="1" t="s">
        <v>457</v>
      </c>
      <c r="F113" s="1"/>
    </row>
    <row r="114" spans="1:6" ht="27.4" customHeight="1">
      <c r="A114" s="1" t="s">
        <v>458</v>
      </c>
      <c r="B114" s="1" t="s">
        <v>459</v>
      </c>
      <c r="C114" s="1" t="s">
        <v>460</v>
      </c>
      <c r="D114" s="1" t="s">
        <v>456</v>
      </c>
      <c r="E114" s="1" t="s">
        <v>461</v>
      </c>
      <c r="F114" s="1"/>
    </row>
    <row r="115" spans="1:6">
      <c r="A115" s="1" t="s">
        <v>462</v>
      </c>
      <c r="B115" s="1" t="s">
        <v>463</v>
      </c>
      <c r="C115" s="1" t="s">
        <v>464</v>
      </c>
      <c r="D115" s="1" t="s">
        <v>456</v>
      </c>
      <c r="E115" s="1" t="s">
        <v>465</v>
      </c>
      <c r="F115" s="1"/>
    </row>
    <row r="116" spans="1:6" ht="41.1" customHeight="1">
      <c r="A116" s="1" t="s">
        <v>466</v>
      </c>
      <c r="B116" s="1" t="s">
        <v>467</v>
      </c>
      <c r="C116" s="1" t="s">
        <v>468</v>
      </c>
      <c r="D116" s="1" t="s">
        <v>469</v>
      </c>
      <c r="E116" s="1" t="s">
        <v>470</v>
      </c>
      <c r="F116" s="1"/>
    </row>
    <row r="117" spans="1:6" ht="27.4" customHeight="1">
      <c r="A117" s="1" t="s">
        <v>471</v>
      </c>
      <c r="B117" s="1" t="s">
        <v>472</v>
      </c>
      <c r="C117" s="1" t="s">
        <v>473</v>
      </c>
      <c r="D117" s="1" t="s">
        <v>474</v>
      </c>
      <c r="E117" s="1" t="s">
        <v>475</v>
      </c>
      <c r="F117" s="1" t="s">
        <v>476</v>
      </c>
    </row>
    <row r="118" spans="1:6" ht="54.75" customHeight="1">
      <c r="A118" s="1" t="s">
        <v>477</v>
      </c>
      <c r="B118" s="1" t="s">
        <v>478</v>
      </c>
      <c r="C118" s="1" t="s">
        <v>479</v>
      </c>
      <c r="D118" s="1" t="s">
        <v>480</v>
      </c>
      <c r="E118" s="1" t="s">
        <v>481</v>
      </c>
      <c r="F118" s="1" t="s">
        <v>482</v>
      </c>
    </row>
    <row r="119" spans="1:6" ht="27.4" customHeight="1">
      <c r="A119" s="1" t="s">
        <v>477</v>
      </c>
      <c r="B119" s="1" t="s">
        <v>483</v>
      </c>
      <c r="C119" s="1" t="s">
        <v>484</v>
      </c>
      <c r="D119" s="1" t="s">
        <v>480</v>
      </c>
      <c r="E119" s="1" t="s">
        <v>485</v>
      </c>
      <c r="F119" s="1"/>
    </row>
    <row r="120" spans="1:6">
      <c r="A120" s="1" t="s">
        <v>486</v>
      </c>
      <c r="B120" s="1" t="s">
        <v>487</v>
      </c>
      <c r="C120" s="1" t="s">
        <v>484</v>
      </c>
      <c r="D120" s="1" t="s">
        <v>488</v>
      </c>
      <c r="E120" s="1" t="s">
        <v>489</v>
      </c>
      <c r="F120" s="1"/>
    </row>
    <row r="121" spans="1:6">
      <c r="A121" s="1" t="s">
        <v>490</v>
      </c>
      <c r="B121" s="1" t="s">
        <v>491</v>
      </c>
      <c r="C121" s="1" t="s">
        <v>484</v>
      </c>
      <c r="D121" s="1" t="s">
        <v>492</v>
      </c>
      <c r="E121" s="1" t="s">
        <v>493</v>
      </c>
      <c r="F121" s="1"/>
    </row>
    <row r="122" spans="1:6" ht="54.75" customHeight="1">
      <c r="A122" s="1" t="s">
        <v>494</v>
      </c>
      <c r="B122" s="1" t="s">
        <v>495</v>
      </c>
      <c r="C122" s="1" t="s">
        <v>484</v>
      </c>
      <c r="D122" s="1" t="s">
        <v>496</v>
      </c>
      <c r="E122" s="1" t="s">
        <v>497</v>
      </c>
      <c r="F122" s="1"/>
    </row>
    <row r="123" spans="1:6" ht="27.4" customHeight="1">
      <c r="A123" s="1" t="s">
        <v>498</v>
      </c>
      <c r="B123" s="1" t="s">
        <v>499</v>
      </c>
      <c r="C123" s="1" t="s">
        <v>500</v>
      </c>
      <c r="D123" s="1" t="s">
        <v>501</v>
      </c>
      <c r="E123" s="1" t="s">
        <v>502</v>
      </c>
      <c r="F123" s="1"/>
    </row>
    <row r="124" spans="1:6">
      <c r="A124" s="1" t="s">
        <v>503</v>
      </c>
      <c r="B124" s="1" t="s">
        <v>504</v>
      </c>
      <c r="C124" s="1" t="s">
        <v>505</v>
      </c>
      <c r="D124" s="1" t="s">
        <v>506</v>
      </c>
      <c r="E124" s="1" t="s">
        <v>507</v>
      </c>
      <c r="F124" s="1"/>
    </row>
    <row r="125" spans="1:6" ht="41.1" customHeight="1">
      <c r="A125" s="1" t="s">
        <v>508</v>
      </c>
      <c r="B125" s="1" t="s">
        <v>509</v>
      </c>
      <c r="C125" s="1" t="s">
        <v>510</v>
      </c>
      <c r="D125" s="1" t="s">
        <v>511</v>
      </c>
      <c r="E125" s="1" t="s">
        <v>512</v>
      </c>
      <c r="F125" s="1"/>
    </row>
    <row r="126" spans="1:6" ht="41.1" customHeight="1">
      <c r="A126" s="1" t="s">
        <v>513</v>
      </c>
      <c r="B126" s="1"/>
      <c r="C126" s="1"/>
      <c r="D126" s="1"/>
      <c r="E126" s="1"/>
      <c r="F126" s="1"/>
    </row>
    <row r="127" spans="1:6" ht="41.25" customHeight="1">
      <c r="A127" s="11" t="s">
        <v>514</v>
      </c>
      <c r="B127" s="11"/>
      <c r="C127" s="11"/>
      <c r="D127" s="11"/>
      <c r="E127" s="11"/>
      <c r="F127" s="11"/>
    </row>
    <row r="128" spans="1:6">
      <c r="A128" s="1" t="s">
        <v>122</v>
      </c>
      <c r="B128" s="1" t="s">
        <v>515</v>
      </c>
      <c r="C128" s="1" t="s">
        <v>516</v>
      </c>
      <c r="D128" s="1" t="s">
        <v>517</v>
      </c>
      <c r="E128" s="1" t="s">
        <v>518</v>
      </c>
      <c r="F128" s="1" t="s">
        <v>519</v>
      </c>
    </row>
    <row r="129" spans="1:6">
      <c r="A129" s="1" t="s">
        <v>372</v>
      </c>
      <c r="B129" s="1" t="s">
        <v>373</v>
      </c>
      <c r="C129" s="1" t="s">
        <v>520</v>
      </c>
      <c r="D129" s="1" t="s">
        <v>521</v>
      </c>
      <c r="E129" s="1" t="s">
        <v>522</v>
      </c>
      <c r="F129" s="1" t="s">
        <v>523</v>
      </c>
    </row>
    <row r="130" spans="1:6">
      <c r="A130" s="1" t="s">
        <v>378</v>
      </c>
      <c r="B130" s="1" t="s">
        <v>379</v>
      </c>
      <c r="C130" s="1" t="s">
        <v>380</v>
      </c>
      <c r="D130" s="1" t="s">
        <v>524</v>
      </c>
      <c r="E130" s="1" t="s">
        <v>522</v>
      </c>
      <c r="F130" s="1" t="s">
        <v>525</v>
      </c>
    </row>
    <row r="131" spans="1:6">
      <c r="A131" s="1" t="s">
        <v>383</v>
      </c>
      <c r="B131" s="1" t="s">
        <v>384</v>
      </c>
      <c r="C131" s="1" t="s">
        <v>526</v>
      </c>
      <c r="D131" s="1" t="s">
        <v>524</v>
      </c>
      <c r="E131" s="1" t="s">
        <v>522</v>
      </c>
      <c r="F131" s="1" t="s">
        <v>527</v>
      </c>
    </row>
    <row r="132" spans="1:6">
      <c r="A132" s="1" t="s">
        <v>387</v>
      </c>
      <c r="B132" s="1" t="s">
        <v>388</v>
      </c>
      <c r="C132" s="1" t="s">
        <v>528</v>
      </c>
      <c r="D132" s="1" t="s">
        <v>529</v>
      </c>
      <c r="E132" s="1" t="s">
        <v>522</v>
      </c>
      <c r="F132" s="1" t="s">
        <v>530</v>
      </c>
    </row>
    <row r="133" spans="1:6">
      <c r="A133" s="1" t="s">
        <v>531</v>
      </c>
      <c r="B133" s="1" t="s">
        <v>532</v>
      </c>
      <c r="C133" s="1" t="s">
        <v>533</v>
      </c>
      <c r="D133" s="1" t="s">
        <v>534</v>
      </c>
      <c r="E133" s="1" t="s">
        <v>535</v>
      </c>
      <c r="F133" s="1" t="s">
        <v>536</v>
      </c>
    </row>
    <row r="134" spans="1:6">
      <c r="A134" s="1" t="s">
        <v>537</v>
      </c>
      <c r="B134" s="1" t="s">
        <v>538</v>
      </c>
      <c r="C134" s="1" t="s">
        <v>409</v>
      </c>
      <c r="D134" s="1" t="s">
        <v>539</v>
      </c>
      <c r="E134" s="1" t="s">
        <v>540</v>
      </c>
      <c r="F134" s="1"/>
    </row>
    <row r="135" spans="1:6">
      <c r="A135" s="1" t="s">
        <v>541</v>
      </c>
      <c r="B135" s="1" t="s">
        <v>542</v>
      </c>
      <c r="C135" s="1" t="s">
        <v>409</v>
      </c>
      <c r="D135" s="1" t="s">
        <v>543</v>
      </c>
      <c r="E135" s="1" t="s">
        <v>544</v>
      </c>
      <c r="F135" s="1"/>
    </row>
    <row r="136" spans="1:6">
      <c r="A136" s="1"/>
      <c r="B136" s="1"/>
      <c r="C136" s="1"/>
      <c r="D136" s="1"/>
      <c r="E136" s="1"/>
      <c r="F136" s="1"/>
    </row>
    <row r="137" spans="1:6" ht="41.1" customHeight="1">
      <c r="A137" s="11" t="s">
        <v>545</v>
      </c>
      <c r="B137" s="11"/>
      <c r="C137" s="11"/>
      <c r="D137" s="11"/>
      <c r="E137" s="11"/>
      <c r="F137" s="11"/>
    </row>
    <row r="138" spans="1:6" ht="27.4" customHeight="1">
      <c r="A138" s="1" t="s">
        <v>546</v>
      </c>
      <c r="B138" s="1" t="s">
        <v>547</v>
      </c>
      <c r="C138" s="1" t="s">
        <v>548</v>
      </c>
      <c r="D138" s="1" t="s">
        <v>549</v>
      </c>
      <c r="E138" s="1" t="s">
        <v>550</v>
      </c>
      <c r="F138" s="1" t="s">
        <v>551</v>
      </c>
    </row>
    <row r="139" spans="1:6" ht="27.4" customHeight="1">
      <c r="A139" s="1" t="s">
        <v>517</v>
      </c>
      <c r="B139" s="1" t="s">
        <v>552</v>
      </c>
      <c r="C139" s="1" t="s">
        <v>553</v>
      </c>
      <c r="D139" s="1" t="s">
        <v>554</v>
      </c>
      <c r="E139" s="1" t="s">
        <v>555</v>
      </c>
      <c r="F139" s="1" t="s">
        <v>556</v>
      </c>
    </row>
    <row r="140" spans="1:6" ht="27.4" customHeight="1">
      <c r="A140" s="1" t="s">
        <v>557</v>
      </c>
      <c r="B140" s="1" t="s">
        <v>558</v>
      </c>
      <c r="C140" s="1" t="s">
        <v>559</v>
      </c>
      <c r="D140" s="1" t="s">
        <v>560</v>
      </c>
      <c r="E140" s="1"/>
      <c r="F140" s="1" t="s">
        <v>561</v>
      </c>
    </row>
    <row r="141" spans="1:6">
      <c r="A141" s="1" t="s">
        <v>562</v>
      </c>
      <c r="B141" s="1" t="s">
        <v>563</v>
      </c>
      <c r="C141" s="1" t="s">
        <v>564</v>
      </c>
      <c r="D141" s="1" t="s">
        <v>565</v>
      </c>
      <c r="E141" s="1"/>
      <c r="F141" s="1" t="s">
        <v>566</v>
      </c>
    </row>
    <row r="142" spans="1:6">
      <c r="A142" s="1"/>
      <c r="B142" s="1"/>
      <c r="C142" s="1"/>
      <c r="D142" s="1"/>
      <c r="E142" s="1"/>
      <c r="F142" s="1"/>
    </row>
    <row r="143" spans="1:6" ht="50.25" customHeight="1">
      <c r="A143" s="11" t="s">
        <v>567</v>
      </c>
      <c r="B143" s="11"/>
      <c r="C143" s="11"/>
      <c r="D143" s="11"/>
      <c r="E143" s="11"/>
      <c r="F143" s="11"/>
    </row>
    <row r="144" spans="1:6" ht="41.1" customHeight="1">
      <c r="A144" s="1" t="s">
        <v>568</v>
      </c>
      <c r="B144" s="1" t="s">
        <v>569</v>
      </c>
      <c r="C144" s="1" t="s">
        <v>570</v>
      </c>
      <c r="D144" s="1" t="s">
        <v>571</v>
      </c>
      <c r="E144" s="1" t="s">
        <v>572</v>
      </c>
      <c r="F144" s="1"/>
    </row>
    <row r="145" spans="1:6" ht="27.4" customHeight="1">
      <c r="A145" s="1" t="s">
        <v>573</v>
      </c>
      <c r="B145" s="1" t="s">
        <v>574</v>
      </c>
      <c r="C145" s="1" t="s">
        <v>575</v>
      </c>
      <c r="D145" s="1" t="s">
        <v>576</v>
      </c>
      <c r="E145" s="1" t="s">
        <v>577</v>
      </c>
      <c r="F145" s="1"/>
    </row>
    <row r="146" spans="1:6">
      <c r="A146" s="1" t="s">
        <v>578</v>
      </c>
      <c r="B146" s="1" t="s">
        <v>579</v>
      </c>
      <c r="C146" s="1" t="s">
        <v>580</v>
      </c>
      <c r="D146" s="1" t="s">
        <v>581</v>
      </c>
      <c r="E146" s="1" t="s">
        <v>582</v>
      </c>
      <c r="F146" s="1"/>
    </row>
    <row r="147" spans="1:6">
      <c r="A147" s="1" t="s">
        <v>583</v>
      </c>
      <c r="B147" s="1" t="s">
        <v>584</v>
      </c>
      <c r="C147" s="1" t="s">
        <v>484</v>
      </c>
      <c r="D147" s="1" t="s">
        <v>585</v>
      </c>
      <c r="E147" s="1" t="s">
        <v>586</v>
      </c>
      <c r="F147" s="1"/>
    </row>
    <row r="148" spans="1:6">
      <c r="A148" s="1" t="s">
        <v>587</v>
      </c>
      <c r="B148" s="1" t="s">
        <v>588</v>
      </c>
      <c r="C148" s="1" t="s">
        <v>484</v>
      </c>
      <c r="D148" s="1" t="s">
        <v>589</v>
      </c>
      <c r="E148" s="1" t="s">
        <v>590</v>
      </c>
      <c r="F148" s="1"/>
    </row>
    <row r="149" spans="1:6" ht="68.45" customHeight="1">
      <c r="A149" s="1" t="s">
        <v>591</v>
      </c>
      <c r="B149" s="1" t="s">
        <v>592</v>
      </c>
      <c r="C149" s="1" t="s">
        <v>484</v>
      </c>
      <c r="D149" s="1" t="s">
        <v>593</v>
      </c>
      <c r="E149" s="1" t="s">
        <v>594</v>
      </c>
      <c r="F149" s="1"/>
    </row>
    <row r="150" spans="1:6">
      <c r="A150" s="1" t="s">
        <v>595</v>
      </c>
      <c r="B150" s="1" t="s">
        <v>596</v>
      </c>
      <c r="C150" s="1" t="s">
        <v>597</v>
      </c>
      <c r="D150" s="1" t="s">
        <v>598</v>
      </c>
      <c r="E150" s="1" t="s">
        <v>599</v>
      </c>
      <c r="F150" s="1"/>
    </row>
    <row r="151" spans="1:6">
      <c r="A151" s="1" t="s">
        <v>600</v>
      </c>
      <c r="B151" s="1" t="s">
        <v>601</v>
      </c>
      <c r="C151" s="1" t="s">
        <v>602</v>
      </c>
      <c r="D151" s="1" t="s">
        <v>603</v>
      </c>
      <c r="E151" s="1" t="s">
        <v>604</v>
      </c>
      <c r="F151" s="1"/>
    </row>
    <row r="152" spans="1:6">
      <c r="A152" s="1" t="s">
        <v>605</v>
      </c>
      <c r="B152" s="1" t="s">
        <v>606</v>
      </c>
      <c r="C152" s="1" t="s">
        <v>607</v>
      </c>
      <c r="D152" s="1" t="s">
        <v>608</v>
      </c>
      <c r="E152" s="1" t="s">
        <v>609</v>
      </c>
      <c r="F152" s="1"/>
    </row>
    <row r="153" spans="1:6">
      <c r="A153" s="1" t="s">
        <v>610</v>
      </c>
      <c r="B153" s="1" t="s">
        <v>611</v>
      </c>
      <c r="C153" s="1" t="s">
        <v>612</v>
      </c>
      <c r="D153" s="1" t="s">
        <v>613</v>
      </c>
      <c r="E153" s="1" t="s">
        <v>614</v>
      </c>
      <c r="F153" s="1"/>
    </row>
    <row r="154" spans="1:6" ht="54.75" customHeight="1">
      <c r="A154" s="1" t="s">
        <v>615</v>
      </c>
      <c r="B154" s="1" t="s">
        <v>616</v>
      </c>
      <c r="C154" s="1" t="s">
        <v>617</v>
      </c>
      <c r="D154" s="1" t="s">
        <v>618</v>
      </c>
      <c r="E154" s="1" t="s">
        <v>619</v>
      </c>
      <c r="F154" s="1"/>
    </row>
    <row r="155" spans="1:6" ht="41.1" customHeight="1">
      <c r="A155" s="1" t="s">
        <v>560</v>
      </c>
      <c r="B155" s="1" t="s">
        <v>620</v>
      </c>
      <c r="C155" s="1" t="s">
        <v>621</v>
      </c>
      <c r="D155" s="1"/>
      <c r="E155" s="1" t="s">
        <v>622</v>
      </c>
      <c r="F155" s="1"/>
    </row>
    <row r="156" spans="1:6">
      <c r="A156" s="1"/>
      <c r="B156" s="1"/>
      <c r="C156" s="1"/>
      <c r="D156" s="1"/>
      <c r="E156" s="1"/>
      <c r="F156" s="1"/>
    </row>
    <row r="157" spans="1:6" ht="51" customHeight="1">
      <c r="A157" s="11" t="s">
        <v>623</v>
      </c>
      <c r="B157" s="11"/>
      <c r="C157" s="11"/>
      <c r="D157" s="11"/>
      <c r="E157" s="11"/>
      <c r="F157" s="11"/>
    </row>
    <row r="158" spans="1:6">
      <c r="A158" s="1" t="s">
        <v>624</v>
      </c>
      <c r="B158" s="1" t="s">
        <v>441</v>
      </c>
      <c r="C158" s="1" t="s">
        <v>625</v>
      </c>
      <c r="D158" s="1" t="s">
        <v>626</v>
      </c>
      <c r="E158" s="1" t="s">
        <v>442</v>
      </c>
      <c r="F158" s="1" t="s">
        <v>627</v>
      </c>
    </row>
    <row r="159" spans="1:6">
      <c r="A159" s="1" t="s">
        <v>628</v>
      </c>
      <c r="B159" s="1" t="s">
        <v>629</v>
      </c>
      <c r="C159" s="1" t="s">
        <v>630</v>
      </c>
      <c r="D159" s="1" t="s">
        <v>626</v>
      </c>
      <c r="E159" s="1" t="s">
        <v>631</v>
      </c>
      <c r="F159" s="1" t="s">
        <v>632</v>
      </c>
    </row>
    <row r="160" spans="1:6">
      <c r="A160" s="1" t="s">
        <v>633</v>
      </c>
      <c r="B160" s="1" t="s">
        <v>629</v>
      </c>
      <c r="C160" s="1" t="s">
        <v>634</v>
      </c>
      <c r="D160" s="1" t="s">
        <v>626</v>
      </c>
      <c r="E160" s="1" t="s">
        <v>635</v>
      </c>
      <c r="F160" s="1" t="s">
        <v>636</v>
      </c>
    </row>
    <row r="161" spans="1:6">
      <c r="A161" s="1" t="s">
        <v>637</v>
      </c>
      <c r="B161" s="1" t="s">
        <v>638</v>
      </c>
      <c r="C161" s="1" t="s">
        <v>639</v>
      </c>
      <c r="D161" s="1" t="s">
        <v>626</v>
      </c>
      <c r="E161" s="1" t="s">
        <v>640</v>
      </c>
      <c r="F161" s="1" t="s">
        <v>641</v>
      </c>
    </row>
    <row r="162" spans="1:6">
      <c r="A162" s="1" t="s">
        <v>642</v>
      </c>
      <c r="B162" s="1" t="s">
        <v>629</v>
      </c>
      <c r="C162" s="1" t="s">
        <v>643</v>
      </c>
      <c r="D162" s="1" t="s">
        <v>626</v>
      </c>
      <c r="E162" s="1" t="s">
        <v>644</v>
      </c>
      <c r="F162" s="1" t="s">
        <v>645</v>
      </c>
    </row>
    <row r="163" spans="1:6">
      <c r="A163" s="1" t="s">
        <v>605</v>
      </c>
      <c r="B163" s="1" t="s">
        <v>629</v>
      </c>
      <c r="C163" s="1" t="s">
        <v>646</v>
      </c>
      <c r="D163" s="1" t="s">
        <v>626</v>
      </c>
      <c r="E163" s="1" t="s">
        <v>647</v>
      </c>
      <c r="F163" s="1" t="s">
        <v>648</v>
      </c>
    </row>
    <row r="164" spans="1:6" ht="27.4" customHeight="1">
      <c r="A164" s="1" t="s">
        <v>642</v>
      </c>
      <c r="B164" s="1" t="s">
        <v>629</v>
      </c>
      <c r="C164" s="1" t="s">
        <v>649</v>
      </c>
      <c r="D164" s="1" t="s">
        <v>626</v>
      </c>
      <c r="E164" s="1" t="s">
        <v>650</v>
      </c>
      <c r="F164" s="1" t="s">
        <v>645</v>
      </c>
    </row>
    <row r="165" spans="1:6">
      <c r="A165" s="1" t="s">
        <v>651</v>
      </c>
      <c r="B165" s="1" t="s">
        <v>629</v>
      </c>
      <c r="C165" s="1" t="s">
        <v>652</v>
      </c>
      <c r="D165" s="1" t="s">
        <v>626</v>
      </c>
      <c r="E165" s="1" t="s">
        <v>653</v>
      </c>
      <c r="F165" s="1" t="s">
        <v>654</v>
      </c>
    </row>
    <row r="166" spans="1:6">
      <c r="A166" s="1" t="s">
        <v>78</v>
      </c>
      <c r="B166" s="1" t="s">
        <v>629</v>
      </c>
      <c r="C166" s="1" t="s">
        <v>655</v>
      </c>
      <c r="D166" s="1" t="s">
        <v>626</v>
      </c>
      <c r="E166" s="1" t="s">
        <v>656</v>
      </c>
      <c r="F166" s="1" t="s">
        <v>657</v>
      </c>
    </row>
    <row r="167" spans="1:6">
      <c r="A167" s="1" t="s">
        <v>658</v>
      </c>
      <c r="B167" s="1" t="s">
        <v>659</v>
      </c>
      <c r="C167" s="1" t="s">
        <v>660</v>
      </c>
      <c r="D167" s="1" t="s">
        <v>626</v>
      </c>
      <c r="E167" s="1" t="s">
        <v>661</v>
      </c>
      <c r="F167" s="1" t="s">
        <v>662</v>
      </c>
    </row>
    <row r="168" spans="1:6">
      <c r="A168" s="1" t="s">
        <v>663</v>
      </c>
      <c r="B168" s="1" t="s">
        <v>629</v>
      </c>
      <c r="C168" s="1" t="s">
        <v>664</v>
      </c>
      <c r="D168" s="1" t="s">
        <v>626</v>
      </c>
      <c r="E168" s="1" t="s">
        <v>665</v>
      </c>
      <c r="F168" s="1" t="s">
        <v>666</v>
      </c>
    </row>
    <row r="169" spans="1:6">
      <c r="A169" s="1" t="s">
        <v>667</v>
      </c>
      <c r="B169" s="1" t="s">
        <v>668</v>
      </c>
      <c r="C169" s="1" t="s">
        <v>669</v>
      </c>
      <c r="D169" s="1" t="s">
        <v>626</v>
      </c>
      <c r="E169" s="1" t="s">
        <v>670</v>
      </c>
      <c r="F169" s="1" t="s">
        <v>671</v>
      </c>
    </row>
    <row r="170" spans="1:6">
      <c r="A170" s="1" t="s">
        <v>672</v>
      </c>
      <c r="B170" s="1" t="s">
        <v>429</v>
      </c>
      <c r="C170" s="1" t="s">
        <v>673</v>
      </c>
      <c r="D170" s="1" t="s">
        <v>626</v>
      </c>
      <c r="E170" s="1" t="s">
        <v>674</v>
      </c>
      <c r="F170" s="1" t="s">
        <v>675</v>
      </c>
    </row>
    <row r="171" spans="1:6">
      <c r="A171" s="1" t="s">
        <v>676</v>
      </c>
      <c r="B171" s="1" t="s">
        <v>677</v>
      </c>
      <c r="C171" s="1" t="s">
        <v>678</v>
      </c>
      <c r="D171" s="1" t="s">
        <v>679</v>
      </c>
      <c r="E171" s="1" t="s">
        <v>680</v>
      </c>
      <c r="F171" s="1" t="s">
        <v>681</v>
      </c>
    </row>
    <row r="172" spans="1:6">
      <c r="A172" s="1" t="s">
        <v>682</v>
      </c>
      <c r="B172" s="1" t="s">
        <v>451</v>
      </c>
      <c r="C172" s="1" t="s">
        <v>683</v>
      </c>
      <c r="D172" s="1" t="s">
        <v>451</v>
      </c>
      <c r="E172" s="1" t="s">
        <v>684</v>
      </c>
      <c r="F172" s="1" t="s">
        <v>685</v>
      </c>
    </row>
    <row r="173" spans="1:6" ht="27.4" customHeight="1">
      <c r="A173" s="1" t="s">
        <v>686</v>
      </c>
      <c r="B173" s="1" t="s">
        <v>396</v>
      </c>
      <c r="C173" s="1" t="s">
        <v>687</v>
      </c>
      <c r="D173" s="1" t="s">
        <v>688</v>
      </c>
      <c r="E173" s="1" t="s">
        <v>689</v>
      </c>
      <c r="F173" s="1" t="s">
        <v>690</v>
      </c>
    </row>
    <row r="174" spans="1:6">
      <c r="A174" s="1" t="s">
        <v>691</v>
      </c>
      <c r="B174" s="1" t="s">
        <v>692</v>
      </c>
      <c r="C174" s="1" t="s">
        <v>693</v>
      </c>
      <c r="D174" s="1" t="s">
        <v>688</v>
      </c>
      <c r="E174" s="1" t="s">
        <v>694</v>
      </c>
      <c r="F174" s="1" t="s">
        <v>695</v>
      </c>
    </row>
    <row r="175" spans="1:6">
      <c r="A175" s="1" t="s">
        <v>696</v>
      </c>
      <c r="B175" s="1" t="s">
        <v>697</v>
      </c>
      <c r="C175" s="1" t="s">
        <v>698</v>
      </c>
      <c r="D175" s="1" t="s">
        <v>688</v>
      </c>
      <c r="E175" s="1" t="s">
        <v>699</v>
      </c>
      <c r="F175" s="1" t="s">
        <v>700</v>
      </c>
    </row>
    <row r="176" spans="1:6">
      <c r="A176" s="1" t="s">
        <v>701</v>
      </c>
      <c r="B176" s="1" t="s">
        <v>702</v>
      </c>
      <c r="C176" s="1" t="s">
        <v>703</v>
      </c>
      <c r="D176" s="1" t="s">
        <v>688</v>
      </c>
      <c r="E176" s="1" t="s">
        <v>704</v>
      </c>
      <c r="F176" s="1" t="s">
        <v>705</v>
      </c>
    </row>
    <row r="177" spans="1:6">
      <c r="A177" s="1"/>
      <c r="B177" s="1"/>
      <c r="C177" s="1"/>
      <c r="D177" s="1"/>
      <c r="E177" s="1"/>
      <c r="F177" s="1"/>
    </row>
    <row r="178" spans="1:6" ht="27.4" customHeight="1">
      <c r="A178" s="11" t="s">
        <v>706</v>
      </c>
      <c r="B178" s="11"/>
      <c r="C178" s="11"/>
      <c r="D178" s="11"/>
      <c r="E178" s="11"/>
      <c r="F178" s="11"/>
    </row>
    <row r="179" spans="1:6" ht="27.4" customHeight="1">
      <c r="A179" s="1" t="s">
        <v>707</v>
      </c>
      <c r="B179" s="1" t="s">
        <v>708</v>
      </c>
      <c r="C179" s="1" t="s">
        <v>709</v>
      </c>
      <c r="D179" s="1" t="s">
        <v>710</v>
      </c>
      <c r="E179" s="1" t="s">
        <v>711</v>
      </c>
      <c r="F179" s="1" t="s">
        <v>712</v>
      </c>
    </row>
    <row r="180" spans="1:6" ht="27.4" customHeight="1">
      <c r="A180" s="1" t="s">
        <v>713</v>
      </c>
      <c r="B180" s="1" t="s">
        <v>714</v>
      </c>
      <c r="C180" s="1" t="s">
        <v>715</v>
      </c>
      <c r="D180" s="1" t="s">
        <v>716</v>
      </c>
      <c r="E180" s="1" t="s">
        <v>717</v>
      </c>
      <c r="F180" s="1" t="s">
        <v>718</v>
      </c>
    </row>
    <row r="181" spans="1:6" ht="27.4" customHeight="1">
      <c r="A181" s="1" t="s">
        <v>719</v>
      </c>
      <c r="B181" s="1" t="s">
        <v>720</v>
      </c>
      <c r="C181" s="1" t="s">
        <v>715</v>
      </c>
      <c r="D181" s="1" t="s">
        <v>721</v>
      </c>
      <c r="E181" s="1" t="s">
        <v>722</v>
      </c>
      <c r="F181" s="1" t="s">
        <v>723</v>
      </c>
    </row>
    <row r="182" spans="1:6" ht="27.4" customHeight="1">
      <c r="A182" s="1" t="s">
        <v>724</v>
      </c>
      <c r="B182" s="1" t="s">
        <v>725</v>
      </c>
      <c r="C182" s="1" t="s">
        <v>726</v>
      </c>
      <c r="D182" s="1" t="s">
        <v>727</v>
      </c>
      <c r="E182" s="1" t="s">
        <v>728</v>
      </c>
      <c r="F182" s="1" t="s">
        <v>729</v>
      </c>
    </row>
    <row r="183" spans="1:6" ht="28.5">
      <c r="A183" s="1" t="s">
        <v>730</v>
      </c>
      <c r="B183" s="1" t="s">
        <v>731</v>
      </c>
      <c r="C183" s="1" t="s">
        <v>732</v>
      </c>
      <c r="D183" s="1" t="s">
        <v>733</v>
      </c>
      <c r="E183" s="1" t="s">
        <v>734</v>
      </c>
      <c r="F183" s="1" t="s">
        <v>735</v>
      </c>
    </row>
    <row r="184" spans="1:6" ht="27.4" customHeight="1">
      <c r="A184" s="1" t="s">
        <v>736</v>
      </c>
      <c r="B184" s="1" t="s">
        <v>737</v>
      </c>
      <c r="C184" s="1" t="s">
        <v>715</v>
      </c>
      <c r="D184" s="1" t="s">
        <v>738</v>
      </c>
      <c r="E184" s="1" t="s">
        <v>739</v>
      </c>
      <c r="F184" s="1" t="s">
        <v>740</v>
      </c>
    </row>
    <row r="185" spans="1:6">
      <c r="A185" s="1" t="s">
        <v>741</v>
      </c>
      <c r="B185" s="1" t="s">
        <v>742</v>
      </c>
      <c r="C185" s="1" t="s">
        <v>743</v>
      </c>
      <c r="D185" s="1" t="s">
        <v>744</v>
      </c>
      <c r="E185" s="1" t="s">
        <v>745</v>
      </c>
      <c r="F185" s="1" t="s">
        <v>746</v>
      </c>
    </row>
    <row r="186" spans="1:6" ht="41.1" customHeight="1">
      <c r="A186" s="1" t="s">
        <v>747</v>
      </c>
      <c r="B186" s="1" t="s">
        <v>748</v>
      </c>
      <c r="C186" s="1" t="s">
        <v>749</v>
      </c>
      <c r="D186" s="1" t="s">
        <v>750</v>
      </c>
      <c r="E186" s="1" t="s">
        <v>751</v>
      </c>
      <c r="F186" s="1" t="s">
        <v>752</v>
      </c>
    </row>
    <row r="187" spans="1:6" ht="41.1" customHeight="1">
      <c r="A187" s="1" t="s">
        <v>753</v>
      </c>
      <c r="B187" s="1" t="s">
        <v>754</v>
      </c>
      <c r="C187" s="1" t="s">
        <v>749</v>
      </c>
      <c r="D187" s="1" t="s">
        <v>755</v>
      </c>
      <c r="E187" s="1" t="s">
        <v>756</v>
      </c>
      <c r="F187" s="1" t="s">
        <v>757</v>
      </c>
    </row>
    <row r="188" spans="1:6" ht="41.1" customHeight="1">
      <c r="A188" s="1" t="s">
        <v>758</v>
      </c>
      <c r="B188" s="1" t="s">
        <v>759</v>
      </c>
      <c r="C188" s="1" t="s">
        <v>749</v>
      </c>
      <c r="D188" s="1" t="s">
        <v>760</v>
      </c>
      <c r="E188" s="1" t="s">
        <v>761</v>
      </c>
      <c r="F188" s="1" t="s">
        <v>762</v>
      </c>
    </row>
    <row r="189" spans="1:6" ht="54.75" customHeight="1">
      <c r="A189" s="1" t="s">
        <v>763</v>
      </c>
      <c r="B189" s="1" t="s">
        <v>764</v>
      </c>
      <c r="C189" s="1" t="s">
        <v>709</v>
      </c>
      <c r="D189" s="1" t="s">
        <v>765</v>
      </c>
      <c r="E189" s="1" t="s">
        <v>766</v>
      </c>
      <c r="F189" s="1" t="s">
        <v>767</v>
      </c>
    </row>
    <row r="190" spans="1:6" ht="27.4" customHeight="1">
      <c r="A190" s="1" t="s">
        <v>768</v>
      </c>
      <c r="B190" s="1" t="s">
        <v>769</v>
      </c>
      <c r="C190" s="1" t="s">
        <v>770</v>
      </c>
      <c r="D190" s="1" t="s">
        <v>771</v>
      </c>
      <c r="E190" s="1" t="s">
        <v>772</v>
      </c>
      <c r="F190" s="1" t="s">
        <v>773</v>
      </c>
    </row>
    <row r="191" spans="1:6" ht="53.25" customHeight="1">
      <c r="A191" s="11" t="s">
        <v>774</v>
      </c>
      <c r="B191" s="11" t="s">
        <v>775</v>
      </c>
      <c r="C191" s="11" t="s">
        <v>776</v>
      </c>
      <c r="D191" s="11" t="s">
        <v>777</v>
      </c>
      <c r="E191" s="11" t="s">
        <v>778</v>
      </c>
      <c r="F191" s="11" t="s">
        <v>779</v>
      </c>
    </row>
    <row r="192" spans="1:6" ht="81.95" customHeight="1">
      <c r="A192" s="1" t="s">
        <v>780</v>
      </c>
      <c r="B192" s="1" t="s">
        <v>781</v>
      </c>
      <c r="C192" s="1" t="s">
        <v>732</v>
      </c>
      <c r="D192" s="1" t="s">
        <v>782</v>
      </c>
      <c r="E192" s="1" t="s">
        <v>783</v>
      </c>
      <c r="F192" s="1" t="s">
        <v>784</v>
      </c>
    </row>
    <row r="193" spans="1:6" ht="27.4" customHeight="1">
      <c r="A193" s="1" t="s">
        <v>785</v>
      </c>
      <c r="B193" s="1" t="s">
        <v>786</v>
      </c>
      <c r="C193" s="1" t="s">
        <v>787</v>
      </c>
      <c r="D193" s="1" t="s">
        <v>788</v>
      </c>
      <c r="E193" s="1"/>
      <c r="F193" s="1" t="s">
        <v>789</v>
      </c>
    </row>
    <row r="194" spans="1:6">
      <c r="A194" s="1" t="s">
        <v>785</v>
      </c>
      <c r="B194" s="1" t="s">
        <v>790</v>
      </c>
      <c r="C194" s="1" t="s">
        <v>791</v>
      </c>
      <c r="D194" s="1" t="s">
        <v>788</v>
      </c>
      <c r="E194" s="1"/>
      <c r="F194" s="1" t="s">
        <v>792</v>
      </c>
    </row>
    <row r="195" spans="1:6" ht="41.1" customHeight="1">
      <c r="A195" s="1" t="s">
        <v>793</v>
      </c>
      <c r="B195" s="1" t="s">
        <v>794</v>
      </c>
      <c r="C195" s="1" t="s">
        <v>795</v>
      </c>
      <c r="D195" s="1" t="s">
        <v>534</v>
      </c>
      <c r="E195" s="1"/>
      <c r="F195" s="1" t="s">
        <v>796</v>
      </c>
    </row>
    <row r="196" spans="1:6" ht="41.1" customHeight="1">
      <c r="A196" s="1" t="s">
        <v>797</v>
      </c>
      <c r="B196" s="1" t="s">
        <v>798</v>
      </c>
      <c r="C196" s="1" t="s">
        <v>799</v>
      </c>
      <c r="D196" s="1" t="s">
        <v>800</v>
      </c>
      <c r="E196" s="1"/>
      <c r="F196" s="1" t="s">
        <v>801</v>
      </c>
    </row>
    <row r="197" spans="1:6">
      <c r="A197" s="1"/>
      <c r="B197" s="1"/>
      <c r="C197" s="1"/>
      <c r="D197" s="1"/>
      <c r="E197" s="1"/>
      <c r="F197" s="1"/>
    </row>
    <row r="198" spans="1:6" ht="37.5" customHeight="1">
      <c r="A198" s="11" t="s">
        <v>802</v>
      </c>
      <c r="B198" s="11"/>
      <c r="C198" s="11"/>
      <c r="D198" s="11"/>
      <c r="E198" s="11"/>
      <c r="F198" s="11"/>
    </row>
    <row r="199" spans="1:6" ht="27.4" customHeight="1">
      <c r="A199" s="1" t="s">
        <v>803</v>
      </c>
      <c r="B199" s="1" t="s">
        <v>15</v>
      </c>
      <c r="C199" s="1" t="s">
        <v>804</v>
      </c>
      <c r="D199" s="1" t="s">
        <v>396</v>
      </c>
      <c r="E199" s="1" t="s">
        <v>805</v>
      </c>
      <c r="F199" s="1" t="s">
        <v>806</v>
      </c>
    </row>
    <row r="200" spans="1:6" ht="27.4" customHeight="1">
      <c r="A200" s="1" t="s">
        <v>807</v>
      </c>
      <c r="B200" s="1" t="s">
        <v>808</v>
      </c>
      <c r="C200" s="1" t="s">
        <v>809</v>
      </c>
      <c r="D200" s="1" t="s">
        <v>810</v>
      </c>
      <c r="E200" s="1" t="s">
        <v>805</v>
      </c>
      <c r="F200" s="1" t="s">
        <v>811</v>
      </c>
    </row>
    <row r="201" spans="1:6" ht="27.4" customHeight="1">
      <c r="A201" s="1" t="s">
        <v>812</v>
      </c>
      <c r="B201" s="1" t="s">
        <v>813</v>
      </c>
      <c r="C201" s="1" t="s">
        <v>814</v>
      </c>
      <c r="D201" s="1" t="s">
        <v>534</v>
      </c>
      <c r="E201" s="1" t="s">
        <v>815</v>
      </c>
      <c r="F201" s="1" t="s">
        <v>816</v>
      </c>
    </row>
    <row r="202" spans="1:6" ht="95.65" customHeight="1">
      <c r="A202" s="1" t="s">
        <v>817</v>
      </c>
      <c r="B202" s="1" t="s">
        <v>818</v>
      </c>
      <c r="C202" s="1" t="s">
        <v>819</v>
      </c>
      <c r="D202" s="1" t="s">
        <v>805</v>
      </c>
      <c r="E202" s="1" t="s">
        <v>820</v>
      </c>
      <c r="F202" s="1"/>
    </row>
    <row r="203" spans="1:6" ht="41.1" customHeight="1">
      <c r="A203" s="1" t="s">
        <v>821</v>
      </c>
      <c r="B203" s="1" t="s">
        <v>822</v>
      </c>
      <c r="C203" s="1" t="s">
        <v>823</v>
      </c>
      <c r="D203" s="1" t="s">
        <v>824</v>
      </c>
      <c r="E203" s="1" t="s">
        <v>825</v>
      </c>
      <c r="F203" s="1"/>
    </row>
    <row r="204" spans="1:6" ht="95.65" customHeight="1">
      <c r="A204" s="1" t="s">
        <v>560</v>
      </c>
      <c r="B204" s="1" t="s">
        <v>826</v>
      </c>
      <c r="C204" s="1" t="s">
        <v>621</v>
      </c>
      <c r="D204" s="1"/>
      <c r="E204" s="1" t="s">
        <v>827</v>
      </c>
      <c r="F204" s="1"/>
    </row>
    <row r="205" spans="1:6" ht="41.1" customHeight="1">
      <c r="A205" s="1" t="s">
        <v>828</v>
      </c>
      <c r="B205" s="1" t="s">
        <v>829</v>
      </c>
      <c r="C205" s="1" t="s">
        <v>830</v>
      </c>
      <c r="D205" s="1"/>
      <c r="E205" s="1" t="s">
        <v>831</v>
      </c>
      <c r="F205" s="1"/>
    </row>
    <row r="206" spans="1:6" ht="54.75" customHeight="1">
      <c r="A206" s="1"/>
      <c r="B206" s="1" t="s">
        <v>832</v>
      </c>
      <c r="C206" s="1"/>
      <c r="D206" s="1"/>
      <c r="E206" s="1"/>
      <c r="F206" s="1"/>
    </row>
    <row r="207" spans="1:6" ht="68.25" customHeight="1">
      <c r="A207" s="11" t="s">
        <v>833</v>
      </c>
      <c r="B207" s="11" t="s">
        <v>834</v>
      </c>
      <c r="C207" s="11"/>
      <c r="D207" s="11"/>
      <c r="E207" s="11"/>
      <c r="F207" s="11"/>
    </row>
    <row r="208" spans="1:6" ht="68.45" customHeight="1">
      <c r="A208" s="1" t="s">
        <v>835</v>
      </c>
      <c r="B208" s="1" t="s">
        <v>836</v>
      </c>
      <c r="C208" s="1" t="s">
        <v>837</v>
      </c>
      <c r="D208" s="1" t="s">
        <v>838</v>
      </c>
      <c r="E208" s="1" t="s">
        <v>824</v>
      </c>
      <c r="F208" s="1" t="s">
        <v>839</v>
      </c>
    </row>
    <row r="209" spans="1:6" ht="27.4" customHeight="1">
      <c r="A209" s="1" t="s">
        <v>840</v>
      </c>
      <c r="B209" s="1" t="s">
        <v>841</v>
      </c>
      <c r="C209" s="1" t="s">
        <v>842</v>
      </c>
      <c r="D209" s="1" t="s">
        <v>684</v>
      </c>
      <c r="E209" s="1" t="s">
        <v>843</v>
      </c>
      <c r="F209" s="1" t="s">
        <v>844</v>
      </c>
    </row>
    <row r="210" spans="1:6" ht="41.1" customHeight="1">
      <c r="A210" s="1" t="s">
        <v>845</v>
      </c>
      <c r="B210" s="1" t="s">
        <v>846</v>
      </c>
      <c r="C210" s="1" t="s">
        <v>847</v>
      </c>
      <c r="D210" s="1" t="s">
        <v>456</v>
      </c>
      <c r="E210" s="1" t="s">
        <v>848</v>
      </c>
      <c r="F210" s="1"/>
    </row>
    <row r="211" spans="1:6" ht="27.4" customHeight="1">
      <c r="A211" s="1" t="s">
        <v>849</v>
      </c>
      <c r="B211" s="1" t="s">
        <v>850</v>
      </c>
      <c r="C211" s="1" t="s">
        <v>851</v>
      </c>
      <c r="D211" s="1" t="s">
        <v>456</v>
      </c>
      <c r="E211" s="1" t="s">
        <v>852</v>
      </c>
      <c r="F211" s="1"/>
    </row>
    <row r="212" spans="1:6" ht="27.4" customHeight="1">
      <c r="A212" s="1" t="s">
        <v>853</v>
      </c>
      <c r="B212" s="1" t="s">
        <v>854</v>
      </c>
      <c r="C212" s="1" t="s">
        <v>855</v>
      </c>
      <c r="D212" s="1" t="s">
        <v>456</v>
      </c>
      <c r="E212" s="1" t="s">
        <v>856</v>
      </c>
      <c r="F212" s="1"/>
    </row>
    <row r="213" spans="1:6" ht="27.4" customHeight="1">
      <c r="A213" s="1" t="s">
        <v>857</v>
      </c>
      <c r="B213" s="1" t="s">
        <v>858</v>
      </c>
      <c r="C213" s="1" t="s">
        <v>859</v>
      </c>
      <c r="D213" s="1" t="s">
        <v>860</v>
      </c>
      <c r="E213" s="1" t="s">
        <v>861</v>
      </c>
      <c r="F213" s="1"/>
    </row>
    <row r="214" spans="1:6" ht="41.1" customHeight="1">
      <c r="A214" s="1" t="s">
        <v>621</v>
      </c>
      <c r="B214" s="1" t="s">
        <v>862</v>
      </c>
      <c r="C214" s="1" t="s">
        <v>863</v>
      </c>
      <c r="D214" s="1"/>
      <c r="E214" s="1" t="s">
        <v>864</v>
      </c>
      <c r="F214" s="1"/>
    </row>
    <row r="215" spans="1:6">
      <c r="A215" s="1"/>
      <c r="B215" s="1"/>
      <c r="C215" s="1"/>
      <c r="D215" s="1"/>
      <c r="E215" s="1"/>
      <c r="F215" s="1"/>
    </row>
    <row r="216" spans="1:6" ht="41.1" customHeight="1">
      <c r="A216" s="11" t="s">
        <v>865</v>
      </c>
      <c r="B216" s="11"/>
      <c r="C216" s="11"/>
      <c r="D216" s="11"/>
      <c r="E216" s="11"/>
      <c r="F216" s="11"/>
    </row>
    <row r="217" spans="1:6" ht="27.4" customHeight="1">
      <c r="A217" s="1" t="s">
        <v>866</v>
      </c>
      <c r="B217" s="1" t="s">
        <v>867</v>
      </c>
      <c r="C217" s="1" t="s">
        <v>868</v>
      </c>
      <c r="D217" s="1" t="s">
        <v>869</v>
      </c>
      <c r="E217" s="1" t="s">
        <v>870</v>
      </c>
      <c r="F217" s="1"/>
    </row>
    <row r="218" spans="1:6" ht="27.4" customHeight="1">
      <c r="A218" s="1" t="s">
        <v>871</v>
      </c>
      <c r="B218" s="1" t="s">
        <v>872</v>
      </c>
      <c r="C218" s="1" t="s">
        <v>873</v>
      </c>
      <c r="D218" s="1" t="s">
        <v>874</v>
      </c>
      <c r="E218" s="1" t="s">
        <v>875</v>
      </c>
      <c r="F218" s="1"/>
    </row>
    <row r="219" spans="1:6" ht="27.4" customHeight="1">
      <c r="A219" s="1" t="s">
        <v>876</v>
      </c>
      <c r="B219" s="1" t="s">
        <v>877</v>
      </c>
      <c r="C219" s="1" t="s">
        <v>878</v>
      </c>
      <c r="D219" s="1" t="s">
        <v>879</v>
      </c>
      <c r="E219" s="1" t="s">
        <v>880</v>
      </c>
      <c r="F219" s="1" t="s">
        <v>881</v>
      </c>
    </row>
    <row r="220" spans="1:6" ht="27.4" customHeight="1">
      <c r="A220" s="1" t="s">
        <v>882</v>
      </c>
      <c r="B220" s="1" t="s">
        <v>883</v>
      </c>
      <c r="C220" s="1" t="s">
        <v>878</v>
      </c>
      <c r="D220" s="1" t="s">
        <v>884</v>
      </c>
      <c r="E220" s="1" t="s">
        <v>885</v>
      </c>
      <c r="F220" s="1" t="s">
        <v>886</v>
      </c>
    </row>
    <row r="221" spans="1:6" ht="28.5">
      <c r="A221" s="1" t="s">
        <v>887</v>
      </c>
      <c r="B221" s="1" t="s">
        <v>888</v>
      </c>
      <c r="C221" s="1" t="s">
        <v>889</v>
      </c>
      <c r="D221" s="1" t="s">
        <v>890</v>
      </c>
      <c r="E221" s="1" t="s">
        <v>891</v>
      </c>
      <c r="F221" s="1" t="s">
        <v>892</v>
      </c>
    </row>
    <row r="222" spans="1:6" ht="41.1" customHeight="1">
      <c r="A222" s="1" t="s">
        <v>893</v>
      </c>
      <c r="B222" s="1" t="s">
        <v>894</v>
      </c>
      <c r="C222" s="1" t="s">
        <v>895</v>
      </c>
      <c r="D222" s="1" t="s">
        <v>896</v>
      </c>
      <c r="E222" s="1" t="s">
        <v>897</v>
      </c>
      <c r="F222" s="1"/>
    </row>
    <row r="223" spans="1:6" ht="27.4" customHeight="1">
      <c r="A223" s="1" t="s">
        <v>898</v>
      </c>
      <c r="B223" s="1" t="s">
        <v>899</v>
      </c>
      <c r="C223" s="1" t="s">
        <v>810</v>
      </c>
      <c r="D223" s="1" t="s">
        <v>900</v>
      </c>
      <c r="E223" s="1" t="s">
        <v>901</v>
      </c>
      <c r="F223" s="1"/>
    </row>
    <row r="224" spans="1:6" ht="27.4" customHeight="1">
      <c r="A224" s="1" t="s">
        <v>902</v>
      </c>
      <c r="B224" s="1" t="s">
        <v>903</v>
      </c>
      <c r="C224" s="1" t="s">
        <v>810</v>
      </c>
      <c r="D224" s="1" t="s">
        <v>904</v>
      </c>
      <c r="E224" s="1" t="s">
        <v>905</v>
      </c>
      <c r="F224" s="1"/>
    </row>
    <row r="225" spans="1:6" ht="41.1" customHeight="1">
      <c r="A225" s="1" t="s">
        <v>906</v>
      </c>
      <c r="B225" s="1" t="s">
        <v>907</v>
      </c>
      <c r="C225" s="1" t="s">
        <v>908</v>
      </c>
      <c r="D225" s="1" t="s">
        <v>909</v>
      </c>
      <c r="E225" s="1" t="s">
        <v>910</v>
      </c>
      <c r="F225" s="1" t="s">
        <v>911</v>
      </c>
    </row>
    <row r="226" spans="1:6" ht="27.4" customHeight="1">
      <c r="A226" s="1" t="s">
        <v>912</v>
      </c>
      <c r="B226" s="1" t="s">
        <v>913</v>
      </c>
      <c r="C226" s="1" t="s">
        <v>914</v>
      </c>
      <c r="D226" s="1" t="s">
        <v>915</v>
      </c>
      <c r="E226" s="1" t="s">
        <v>916</v>
      </c>
      <c r="F226" s="1"/>
    </row>
    <row r="227" spans="1:6" ht="27.4" customHeight="1">
      <c r="A227" s="1" t="s">
        <v>917</v>
      </c>
      <c r="B227" s="1" t="s">
        <v>918</v>
      </c>
      <c r="C227" s="1" t="s">
        <v>863</v>
      </c>
      <c r="D227" s="1"/>
      <c r="E227" s="1" t="s">
        <v>919</v>
      </c>
      <c r="F227" s="1"/>
    </row>
    <row r="228" spans="1:6" ht="41.1" customHeight="1">
      <c r="A228" s="1" t="s">
        <v>920</v>
      </c>
      <c r="B228" s="1" t="s">
        <v>921</v>
      </c>
      <c r="C228" s="1" t="s">
        <v>560</v>
      </c>
      <c r="D228" s="1" t="s">
        <v>922</v>
      </c>
      <c r="E228" s="1" t="s">
        <v>923</v>
      </c>
      <c r="F228" s="1"/>
    </row>
    <row r="229" spans="1:6" ht="56.25" customHeight="1">
      <c r="A229" s="11" t="s">
        <v>924</v>
      </c>
      <c r="B229" s="11" t="s">
        <v>925</v>
      </c>
      <c r="C229" s="11" t="s">
        <v>621</v>
      </c>
      <c r="D229" s="11"/>
      <c r="E229" s="11" t="s">
        <v>926</v>
      </c>
      <c r="F229" s="11"/>
    </row>
    <row r="230" spans="1:6" ht="41.1" customHeight="1">
      <c r="A230" s="1" t="s">
        <v>927</v>
      </c>
      <c r="B230" s="1" t="s">
        <v>928</v>
      </c>
      <c r="C230" s="1" t="s">
        <v>929</v>
      </c>
      <c r="D230" s="1"/>
      <c r="E230" s="1" t="s">
        <v>930</v>
      </c>
      <c r="F230" s="1"/>
    </row>
    <row r="231" spans="1:6" ht="41.1" customHeight="1">
      <c r="A231" s="1" t="s">
        <v>931</v>
      </c>
      <c r="B231" s="1" t="s">
        <v>932</v>
      </c>
      <c r="C231" s="1" t="s">
        <v>933</v>
      </c>
      <c r="D231" s="1" t="s">
        <v>934</v>
      </c>
      <c r="E231" s="1" t="s">
        <v>935</v>
      </c>
      <c r="F231" s="1"/>
    </row>
    <row r="232" spans="1:6" ht="41.1" customHeight="1">
      <c r="A232" s="1" t="s">
        <v>936</v>
      </c>
      <c r="B232" s="1" t="s">
        <v>937</v>
      </c>
      <c r="C232" s="1" t="s">
        <v>938</v>
      </c>
      <c r="D232" s="1" t="s">
        <v>939</v>
      </c>
      <c r="E232" s="1" t="s">
        <v>940</v>
      </c>
      <c r="F232" s="1"/>
    </row>
    <row r="233" spans="1:6" ht="41.1" customHeight="1">
      <c r="A233" s="1" t="s">
        <v>941</v>
      </c>
      <c r="B233" s="1" t="s">
        <v>942</v>
      </c>
      <c r="C233" s="1" t="s">
        <v>943</v>
      </c>
      <c r="D233" s="1" t="s">
        <v>944</v>
      </c>
      <c r="E233" s="1" t="s">
        <v>945</v>
      </c>
      <c r="F233" s="1"/>
    </row>
    <row r="234" spans="1:6" ht="27.4" customHeight="1">
      <c r="A234" s="1" t="s">
        <v>946</v>
      </c>
      <c r="B234" s="1" t="s">
        <v>947</v>
      </c>
      <c r="C234" s="1" t="s">
        <v>948</v>
      </c>
      <c r="D234" s="1"/>
      <c r="E234" s="1" t="s">
        <v>949</v>
      </c>
      <c r="F234" s="1"/>
    </row>
    <row r="235" spans="1:6">
      <c r="A235" s="1"/>
      <c r="B235" s="1"/>
      <c r="C235" s="1"/>
      <c r="D235" s="1"/>
      <c r="E235" s="1"/>
      <c r="F235" s="1"/>
    </row>
    <row r="236" spans="1:6" ht="33" customHeight="1">
      <c r="A236" s="11"/>
      <c r="B236" s="11"/>
      <c r="C236" s="11"/>
      <c r="D236" s="11"/>
      <c r="E236" s="11"/>
      <c r="F236" s="11"/>
    </row>
    <row r="237" spans="1:6">
      <c r="A237" s="1"/>
      <c r="B237" s="1"/>
      <c r="C237" s="1"/>
      <c r="D237" s="1"/>
      <c r="E237" s="1"/>
      <c r="F237" s="1"/>
    </row>
    <row r="238" spans="1:6">
      <c r="A238" s="1"/>
      <c r="B238" s="1"/>
      <c r="C238" s="1"/>
      <c r="D238" s="1"/>
      <c r="E238" s="1"/>
      <c r="F238" s="1"/>
    </row>
    <row r="239" spans="1:6">
      <c r="A239" s="1"/>
      <c r="B239" s="1"/>
      <c r="C239" s="1"/>
      <c r="D239" s="1"/>
      <c r="E239" s="1"/>
      <c r="F239" s="1"/>
    </row>
    <row r="240" spans="1:6">
      <c r="A240" s="1"/>
      <c r="B240" s="1"/>
      <c r="C240" s="1"/>
      <c r="D240" s="1"/>
      <c r="E240" s="1"/>
      <c r="F240" s="1"/>
    </row>
    <row r="241" spans="1:6">
      <c r="A241" s="1"/>
      <c r="B241" s="1"/>
      <c r="C241" s="1"/>
      <c r="D241" s="1"/>
      <c r="E241" s="1"/>
      <c r="F241" s="1"/>
    </row>
    <row r="242" spans="1:6">
      <c r="A242" s="1"/>
      <c r="B242" s="1"/>
      <c r="C242" s="1"/>
      <c r="D242" s="1"/>
      <c r="E242" s="1"/>
      <c r="F242" s="1"/>
    </row>
    <row r="243" spans="1:6">
      <c r="A243" s="1" t="s">
        <v>950</v>
      </c>
      <c r="B243" s="1" t="s">
        <v>951</v>
      </c>
      <c r="C243" s="1" t="s">
        <v>560</v>
      </c>
      <c r="D243" s="1"/>
      <c r="E243" s="1" t="s">
        <v>952</v>
      </c>
      <c r="F243" s="1"/>
    </row>
    <row r="244" spans="1:6">
      <c r="A244" s="1" t="s">
        <v>621</v>
      </c>
      <c r="B244" s="1" t="s">
        <v>953</v>
      </c>
      <c r="C244" s="1" t="s">
        <v>954</v>
      </c>
      <c r="D244" s="1"/>
      <c r="E244" s="1" t="s">
        <v>955</v>
      </c>
      <c r="F244" s="1"/>
    </row>
    <row r="245" spans="1:6">
      <c r="A245" s="1"/>
      <c r="B245" s="1"/>
      <c r="C245" s="1"/>
      <c r="D245" s="1"/>
      <c r="E245" s="1"/>
      <c r="F245" s="1"/>
    </row>
    <row r="246" spans="1:6">
      <c r="A246" s="1"/>
      <c r="B246" s="1"/>
      <c r="C246" s="1"/>
      <c r="D246" s="1"/>
      <c r="E246" s="1"/>
      <c r="F246" s="1"/>
    </row>
    <row r="247" spans="1:6" ht="39.75" customHeight="1">
      <c r="A247" s="11" t="s">
        <v>956</v>
      </c>
      <c r="B247" s="11"/>
      <c r="C247" s="11"/>
      <c r="D247" s="11"/>
      <c r="E247" s="11"/>
      <c r="F247" s="11"/>
    </row>
    <row r="248" spans="1:6" ht="27.4" customHeight="1">
      <c r="A248" s="1" t="s">
        <v>957</v>
      </c>
      <c r="B248" s="1" t="s">
        <v>15</v>
      </c>
      <c r="C248" s="1" t="s">
        <v>958</v>
      </c>
      <c r="D248" s="1" t="s">
        <v>959</v>
      </c>
      <c r="E248" s="1" t="s">
        <v>960</v>
      </c>
      <c r="F248" s="1" t="s">
        <v>961</v>
      </c>
    </row>
    <row r="249" spans="1:6" ht="27.4" customHeight="1">
      <c r="A249" s="1" t="s">
        <v>962</v>
      </c>
      <c r="B249" s="1" t="s">
        <v>963</v>
      </c>
      <c r="C249" s="1" t="s">
        <v>964</v>
      </c>
      <c r="D249" s="1" t="s">
        <v>965</v>
      </c>
      <c r="E249" s="1" t="s">
        <v>966</v>
      </c>
      <c r="F249" s="1" t="s">
        <v>967</v>
      </c>
    </row>
    <row r="250" spans="1:6" ht="27.4" customHeight="1">
      <c r="A250" s="1" t="s">
        <v>968</v>
      </c>
      <c r="B250" s="1" t="s">
        <v>808</v>
      </c>
      <c r="C250" s="1" t="s">
        <v>969</v>
      </c>
      <c r="D250" s="1" t="s">
        <v>970</v>
      </c>
      <c r="E250" s="1" t="s">
        <v>971</v>
      </c>
      <c r="F250" s="1" t="s">
        <v>972</v>
      </c>
    </row>
    <row r="251" spans="1:6" ht="27.4" customHeight="1">
      <c r="A251" s="1" t="s">
        <v>973</v>
      </c>
      <c r="B251" s="1" t="s">
        <v>974</v>
      </c>
      <c r="C251" s="1" t="s">
        <v>975</v>
      </c>
      <c r="D251" s="1" t="s">
        <v>965</v>
      </c>
      <c r="E251" s="1" t="s">
        <v>966</v>
      </c>
      <c r="F251" s="1" t="s">
        <v>976</v>
      </c>
    </row>
    <row r="252" spans="1:6" ht="27.4" customHeight="1">
      <c r="A252" s="1" t="s">
        <v>977</v>
      </c>
      <c r="B252" s="1" t="s">
        <v>813</v>
      </c>
      <c r="C252" s="1" t="s">
        <v>978</v>
      </c>
      <c r="D252" s="1" t="s">
        <v>979</v>
      </c>
      <c r="E252" s="1" t="s">
        <v>960</v>
      </c>
      <c r="F252" s="1" t="s">
        <v>980</v>
      </c>
    </row>
    <row r="253" spans="1:6" ht="27.4" customHeight="1">
      <c r="A253" s="1" t="s">
        <v>981</v>
      </c>
      <c r="B253" s="1" t="s">
        <v>982</v>
      </c>
      <c r="C253" s="1" t="s">
        <v>983</v>
      </c>
      <c r="D253" s="1" t="s">
        <v>984</v>
      </c>
      <c r="E253" s="1" t="s">
        <v>966</v>
      </c>
      <c r="F253" s="1" t="s">
        <v>985</v>
      </c>
    </row>
    <row r="254" spans="1:6" ht="27.4" customHeight="1">
      <c r="A254" s="1" t="s">
        <v>986</v>
      </c>
      <c r="B254" s="1" t="s">
        <v>987</v>
      </c>
      <c r="C254" s="1" t="s">
        <v>988</v>
      </c>
      <c r="D254" s="1" t="s">
        <v>989</v>
      </c>
      <c r="E254" s="1"/>
      <c r="F254" s="1" t="s">
        <v>990</v>
      </c>
    </row>
    <row r="255" spans="1:6" ht="27.4" customHeight="1">
      <c r="A255" s="1" t="s">
        <v>991</v>
      </c>
      <c r="B255" s="1" t="s">
        <v>992</v>
      </c>
      <c r="C255" s="1" t="s">
        <v>823</v>
      </c>
      <c r="D255" s="1"/>
      <c r="E255" s="1" t="s">
        <v>993</v>
      </c>
      <c r="F255" s="1"/>
    </row>
    <row r="256" spans="1:6" ht="104.25" customHeight="1">
      <c r="A256" s="1" t="s">
        <v>994</v>
      </c>
      <c r="B256" s="1" t="s">
        <v>995</v>
      </c>
      <c r="C256" s="1" t="s">
        <v>996</v>
      </c>
      <c r="D256" s="1" t="s">
        <v>997</v>
      </c>
      <c r="E256" s="1" t="s">
        <v>998</v>
      </c>
      <c r="F256" s="1"/>
    </row>
    <row r="257" spans="1:6">
      <c r="A257" s="1" t="s">
        <v>999</v>
      </c>
      <c r="B257" s="1" t="s">
        <v>1000</v>
      </c>
      <c r="C257" s="1" t="s">
        <v>560</v>
      </c>
      <c r="D257" s="1"/>
      <c r="E257" s="1" t="s">
        <v>1001</v>
      </c>
      <c r="F257" s="1"/>
    </row>
    <row r="258" spans="1:6">
      <c r="A258" s="1"/>
      <c r="B258" s="1"/>
      <c r="C258" s="1"/>
      <c r="D258" s="1"/>
      <c r="E258" s="1"/>
      <c r="F258" s="1"/>
    </row>
    <row r="259" spans="1:6" ht="54" customHeight="1">
      <c r="A259" s="11" t="s">
        <v>1002</v>
      </c>
      <c r="B259" s="11"/>
      <c r="C259" s="11"/>
      <c r="D259" s="11"/>
      <c r="E259" s="11"/>
      <c r="F259" s="11"/>
    </row>
    <row r="260" spans="1:6" ht="27.4" customHeight="1">
      <c r="A260" s="1" t="s">
        <v>1003</v>
      </c>
      <c r="B260" s="1" t="s">
        <v>1004</v>
      </c>
      <c r="C260" s="1" t="s">
        <v>1005</v>
      </c>
      <c r="D260" s="1"/>
      <c r="E260" s="1" t="s">
        <v>1006</v>
      </c>
      <c r="F260" s="1"/>
    </row>
    <row r="261" spans="1:6" ht="27.4" customHeight="1">
      <c r="A261" s="1" t="s">
        <v>546</v>
      </c>
      <c r="B261" s="1" t="s">
        <v>1007</v>
      </c>
      <c r="C261" s="1" t="s">
        <v>1008</v>
      </c>
      <c r="D261" s="1"/>
      <c r="E261" s="1" t="s">
        <v>1009</v>
      </c>
      <c r="F261" s="1"/>
    </row>
    <row r="262" spans="1:6" ht="41.1" customHeight="1">
      <c r="A262" s="1" t="s">
        <v>920</v>
      </c>
      <c r="B262" s="1" t="s">
        <v>1010</v>
      </c>
      <c r="C262" s="1" t="s">
        <v>1011</v>
      </c>
      <c r="D262" s="1" t="s">
        <v>960</v>
      </c>
      <c r="E262" s="1" t="s">
        <v>1012</v>
      </c>
      <c r="F262" s="1"/>
    </row>
    <row r="263" spans="1:6">
      <c r="A263" s="1" t="s">
        <v>830</v>
      </c>
      <c r="B263" s="1" t="s">
        <v>1013</v>
      </c>
      <c r="C263" s="1" t="s">
        <v>1014</v>
      </c>
      <c r="D263" s="1" t="s">
        <v>1015</v>
      </c>
      <c r="E263" s="1" t="s">
        <v>1016</v>
      </c>
      <c r="F263" s="1"/>
    </row>
    <row r="264" spans="1:6">
      <c r="A264" s="1"/>
      <c r="B264" s="1"/>
      <c r="C264" s="1"/>
      <c r="D264" s="1"/>
      <c r="E264" s="1"/>
      <c r="F264" s="1"/>
    </row>
    <row r="265" spans="1:6" ht="41.1" customHeight="1">
      <c r="A265" s="11" t="s">
        <v>1017</v>
      </c>
      <c r="B265" s="11"/>
      <c r="C265" s="11"/>
      <c r="D265" s="11"/>
      <c r="E265" s="11"/>
      <c r="F265" s="11"/>
    </row>
    <row r="266" spans="1:6" ht="27.4" customHeight="1">
      <c r="A266" s="1" t="s">
        <v>1018</v>
      </c>
      <c r="B266" s="1" t="s">
        <v>1019</v>
      </c>
      <c r="C266" s="1" t="s">
        <v>920</v>
      </c>
      <c r="D266" s="1" t="s">
        <v>1020</v>
      </c>
      <c r="E266" s="1" t="s">
        <v>1021</v>
      </c>
      <c r="F266" s="1"/>
    </row>
    <row r="267" spans="1:6" ht="81.95" customHeight="1">
      <c r="A267" s="1" t="s">
        <v>1022</v>
      </c>
      <c r="B267" s="1" t="s">
        <v>1023</v>
      </c>
      <c r="C267" s="1" t="s">
        <v>1024</v>
      </c>
      <c r="D267" s="1" t="s">
        <v>1025</v>
      </c>
      <c r="E267" s="1" t="s">
        <v>1026</v>
      </c>
      <c r="F267" s="1" t="s">
        <v>1027</v>
      </c>
    </row>
    <row r="268" spans="1:6" ht="68.45" customHeight="1">
      <c r="A268" s="1" t="s">
        <v>1028</v>
      </c>
      <c r="B268" s="1" t="s">
        <v>1029</v>
      </c>
      <c r="C268" s="1" t="s">
        <v>1030</v>
      </c>
      <c r="D268" s="1" t="s">
        <v>1031</v>
      </c>
      <c r="E268" s="1" t="s">
        <v>1032</v>
      </c>
      <c r="F268" s="1"/>
    </row>
    <row r="269" spans="1:6" ht="54.75" customHeight="1">
      <c r="A269" s="1" t="s">
        <v>1033</v>
      </c>
      <c r="B269" s="1" t="s">
        <v>1034</v>
      </c>
      <c r="C269" s="1" t="s">
        <v>1030</v>
      </c>
      <c r="D269" s="1" t="s">
        <v>1025</v>
      </c>
      <c r="E269" s="1" t="s">
        <v>1035</v>
      </c>
      <c r="F269" s="1"/>
    </row>
    <row r="270" spans="1:6" ht="27.4" customHeight="1">
      <c r="A270" s="1" t="s">
        <v>1036</v>
      </c>
      <c r="B270" s="1" t="s">
        <v>1037</v>
      </c>
      <c r="C270" s="1" t="s">
        <v>1038</v>
      </c>
      <c r="D270" s="1" t="s">
        <v>1039</v>
      </c>
      <c r="E270" s="1" t="s">
        <v>1040</v>
      </c>
      <c r="F270" s="1"/>
    </row>
    <row r="271" spans="1:6">
      <c r="A271" s="1" t="s">
        <v>1041</v>
      </c>
      <c r="B271" s="1" t="s">
        <v>1042</v>
      </c>
      <c r="C271" s="1" t="s">
        <v>1043</v>
      </c>
      <c r="D271" s="1" t="s">
        <v>1044</v>
      </c>
      <c r="E271" s="1" t="s">
        <v>1045</v>
      </c>
      <c r="F271" s="1"/>
    </row>
    <row r="272" spans="1:6" ht="27.4" customHeight="1">
      <c r="A272" s="1" t="s">
        <v>1046</v>
      </c>
      <c r="B272" s="1" t="s">
        <v>1047</v>
      </c>
      <c r="C272" s="1" t="s">
        <v>954</v>
      </c>
      <c r="D272" s="1" t="s">
        <v>1048</v>
      </c>
      <c r="E272" s="1" t="s">
        <v>1049</v>
      </c>
      <c r="F272" s="1"/>
    </row>
    <row r="273" spans="1:6" ht="27.4" customHeight="1">
      <c r="A273" s="1" t="s">
        <v>1050</v>
      </c>
      <c r="B273" s="1" t="s">
        <v>1051</v>
      </c>
      <c r="C273" s="1" t="s">
        <v>1052</v>
      </c>
      <c r="D273" s="1" t="s">
        <v>1053</v>
      </c>
      <c r="E273" s="1" t="s">
        <v>1054</v>
      </c>
      <c r="F273" s="1"/>
    </row>
    <row r="274" spans="1:6">
      <c r="A274" s="1" t="s">
        <v>1055</v>
      </c>
      <c r="B274" s="1" t="s">
        <v>1056</v>
      </c>
      <c r="C274" s="1" t="s">
        <v>1057</v>
      </c>
      <c r="D274" s="1" t="s">
        <v>1058</v>
      </c>
      <c r="E274" s="1" t="s">
        <v>1059</v>
      </c>
      <c r="F274" s="1"/>
    </row>
    <row r="275" spans="1:6">
      <c r="A275" s="1"/>
      <c r="B275" s="1"/>
      <c r="C275" s="1"/>
      <c r="D275" s="1"/>
      <c r="E275" s="1"/>
      <c r="F275" s="1"/>
    </row>
    <row r="276" spans="1:6" ht="51" customHeight="1">
      <c r="A276" s="11" t="s">
        <v>1060</v>
      </c>
      <c r="B276" s="11"/>
      <c r="C276" s="11"/>
      <c r="D276" s="11"/>
      <c r="E276" s="11"/>
      <c r="F276" s="11"/>
    </row>
    <row r="277" spans="1:6" ht="27.4" customHeight="1">
      <c r="A277" s="1" t="s">
        <v>1061</v>
      </c>
      <c r="B277" s="1" t="s">
        <v>1062</v>
      </c>
      <c r="C277" s="1" t="s">
        <v>1063</v>
      </c>
      <c r="D277" s="1"/>
      <c r="E277" s="1" t="s">
        <v>1064</v>
      </c>
      <c r="F277" s="1"/>
    </row>
    <row r="278" spans="1:6" ht="27.4" customHeight="1">
      <c r="A278" s="1" t="s">
        <v>1065</v>
      </c>
      <c r="B278" s="1" t="s">
        <v>1066</v>
      </c>
      <c r="C278" s="1" t="s">
        <v>1067</v>
      </c>
      <c r="D278" s="1" t="s">
        <v>1068</v>
      </c>
      <c r="E278" s="1" t="s">
        <v>1069</v>
      </c>
      <c r="F278" s="1"/>
    </row>
    <row r="279" spans="1:6" ht="27.4" customHeight="1">
      <c r="A279" s="1" t="s">
        <v>1070</v>
      </c>
      <c r="B279" s="1" t="s">
        <v>1071</v>
      </c>
      <c r="C279" s="1" t="s">
        <v>1067</v>
      </c>
      <c r="D279" s="1" t="s">
        <v>1068</v>
      </c>
      <c r="E279" s="1" t="s">
        <v>1072</v>
      </c>
      <c r="F279" s="1"/>
    </row>
    <row r="280" spans="1:6" ht="41.1" customHeight="1">
      <c r="A280" s="1" t="s">
        <v>1073</v>
      </c>
      <c r="B280" s="1" t="s">
        <v>1074</v>
      </c>
      <c r="C280" s="1" t="s">
        <v>1067</v>
      </c>
      <c r="D280" s="1" t="s">
        <v>1075</v>
      </c>
      <c r="E280" s="1" t="s">
        <v>1076</v>
      </c>
      <c r="F280" s="1"/>
    </row>
    <row r="281" spans="1:6" ht="28.5">
      <c r="A281" s="1" t="s">
        <v>1077</v>
      </c>
      <c r="B281" s="1" t="s">
        <v>1078</v>
      </c>
      <c r="C281" s="1" t="s">
        <v>1079</v>
      </c>
      <c r="D281" s="1" t="s">
        <v>1080</v>
      </c>
      <c r="E281" s="1" t="s">
        <v>1081</v>
      </c>
      <c r="F281" s="1"/>
    </row>
    <row r="282" spans="1:6">
      <c r="A282" s="1" t="s">
        <v>1082</v>
      </c>
      <c r="B282" s="1" t="s">
        <v>1083</v>
      </c>
      <c r="C282" s="1" t="s">
        <v>1084</v>
      </c>
      <c r="D282" s="1" t="s">
        <v>1085</v>
      </c>
      <c r="E282" s="1" t="s">
        <v>1086</v>
      </c>
      <c r="F282" s="1"/>
    </row>
    <row r="283" spans="1:6" ht="27.4" customHeight="1">
      <c r="A283" s="1" t="s">
        <v>1018</v>
      </c>
      <c r="B283" s="1" t="s">
        <v>1087</v>
      </c>
      <c r="C283" s="1" t="s">
        <v>920</v>
      </c>
      <c r="D283" s="1" t="s">
        <v>1088</v>
      </c>
      <c r="E283" s="1" t="s">
        <v>1089</v>
      </c>
      <c r="F283" s="1"/>
    </row>
    <row r="284" spans="1:6" ht="27.4" customHeight="1">
      <c r="A284" s="1" t="s">
        <v>1090</v>
      </c>
      <c r="B284" s="1" t="s">
        <v>1091</v>
      </c>
      <c r="C284" s="1" t="s">
        <v>920</v>
      </c>
      <c r="D284" s="1" t="s">
        <v>1088</v>
      </c>
      <c r="E284" s="1" t="s">
        <v>1092</v>
      </c>
      <c r="F284" s="1"/>
    </row>
    <row r="285" spans="1:6" ht="27.4" customHeight="1">
      <c r="A285" s="1" t="s">
        <v>1046</v>
      </c>
      <c r="B285" s="1" t="s">
        <v>1093</v>
      </c>
      <c r="C285" s="1" t="s">
        <v>621</v>
      </c>
      <c r="D285" s="1" t="s">
        <v>1094</v>
      </c>
      <c r="E285" s="1" t="s">
        <v>1095</v>
      </c>
      <c r="F285" s="1"/>
    </row>
    <row r="286" spans="1:6" ht="27.4" customHeight="1">
      <c r="A286" s="1" t="s">
        <v>1055</v>
      </c>
      <c r="B286" s="1" t="s">
        <v>1096</v>
      </c>
      <c r="C286" s="1" t="s">
        <v>1057</v>
      </c>
      <c r="D286" s="1" t="s">
        <v>1097</v>
      </c>
      <c r="E286" s="1" t="s">
        <v>1098</v>
      </c>
      <c r="F286" s="1"/>
    </row>
    <row r="287" spans="1:6" ht="36.75" customHeight="1">
      <c r="A287" s="11" t="s">
        <v>1099</v>
      </c>
      <c r="B287" s="11"/>
      <c r="C287" s="11"/>
      <c r="D287" s="11"/>
      <c r="E287" s="11"/>
      <c r="F287" s="11"/>
    </row>
    <row r="288" spans="1:6" ht="53.25" customHeight="1">
      <c r="A288" s="11" t="s">
        <v>1100</v>
      </c>
      <c r="B288" s="11"/>
      <c r="C288" s="11"/>
      <c r="D288" s="11"/>
      <c r="E288" s="11"/>
      <c r="F288" s="11"/>
    </row>
    <row r="289" spans="1:6" ht="27.4" customHeight="1">
      <c r="A289" s="1" t="s">
        <v>1101</v>
      </c>
      <c r="B289" s="1" t="s">
        <v>1102</v>
      </c>
      <c r="C289" s="1" t="s">
        <v>1103</v>
      </c>
      <c r="D289" s="1" t="s">
        <v>1104</v>
      </c>
      <c r="E289" s="1" t="s">
        <v>1105</v>
      </c>
      <c r="F289" s="1"/>
    </row>
    <row r="290" spans="1:6" ht="27.4" customHeight="1">
      <c r="A290" s="1" t="s">
        <v>1106</v>
      </c>
      <c r="B290" s="1" t="s">
        <v>1107</v>
      </c>
      <c r="C290" s="1" t="s">
        <v>1108</v>
      </c>
      <c r="D290" s="1" t="s">
        <v>1109</v>
      </c>
      <c r="E290" s="1" t="s">
        <v>1110</v>
      </c>
      <c r="F290" s="1"/>
    </row>
    <row r="291" spans="1:6" ht="27.4" customHeight="1">
      <c r="A291" s="1" t="s">
        <v>1111</v>
      </c>
      <c r="B291" s="1" t="s">
        <v>1112</v>
      </c>
      <c r="C291" s="1" t="s">
        <v>1113</v>
      </c>
      <c r="D291" s="1" t="s">
        <v>684</v>
      </c>
      <c r="E291" s="1" t="s">
        <v>1114</v>
      </c>
      <c r="F291" s="1" t="s">
        <v>1115</v>
      </c>
    </row>
    <row r="292" spans="1:6">
      <c r="A292" s="1" t="s">
        <v>1116</v>
      </c>
      <c r="B292" s="1" t="s">
        <v>1117</v>
      </c>
      <c r="C292" s="1" t="s">
        <v>1118</v>
      </c>
      <c r="D292" s="1" t="s">
        <v>1119</v>
      </c>
      <c r="E292" s="1" t="s">
        <v>1120</v>
      </c>
      <c r="F292" s="1"/>
    </row>
    <row r="293" spans="1:6" ht="27.4" customHeight="1">
      <c r="A293" s="1" t="s">
        <v>1121</v>
      </c>
      <c r="B293" s="1" t="s">
        <v>1122</v>
      </c>
      <c r="C293" s="1" t="s">
        <v>1123</v>
      </c>
      <c r="D293" s="1" t="s">
        <v>1124</v>
      </c>
      <c r="E293" s="1" t="s">
        <v>1125</v>
      </c>
      <c r="F293" s="1"/>
    </row>
    <row r="294" spans="1:6">
      <c r="A294" s="1" t="s">
        <v>1126</v>
      </c>
      <c r="B294" s="1" t="s">
        <v>1127</v>
      </c>
      <c r="C294" s="1" t="s">
        <v>1128</v>
      </c>
      <c r="D294" s="1" t="s">
        <v>1129</v>
      </c>
      <c r="E294" s="1" t="s">
        <v>1130</v>
      </c>
      <c r="F294" s="1"/>
    </row>
    <row r="295" spans="1:6" ht="27.4" customHeight="1">
      <c r="A295" s="1" t="s">
        <v>1131</v>
      </c>
      <c r="B295" s="1" t="s">
        <v>1132</v>
      </c>
      <c r="C295" s="1" t="s">
        <v>1108</v>
      </c>
      <c r="D295" s="1" t="s">
        <v>1133</v>
      </c>
      <c r="E295" s="1" t="s">
        <v>1134</v>
      </c>
      <c r="F295" s="1"/>
    </row>
    <row r="296" spans="1:6" ht="27.4" customHeight="1">
      <c r="A296" s="1" t="s">
        <v>1135</v>
      </c>
      <c r="B296" s="1" t="s">
        <v>1136</v>
      </c>
      <c r="C296" s="1" t="s">
        <v>464</v>
      </c>
      <c r="D296" s="1" t="s">
        <v>1137</v>
      </c>
      <c r="E296" s="1" t="s">
        <v>1138</v>
      </c>
      <c r="F296" s="1"/>
    </row>
    <row r="297" spans="1:6" ht="27.4" customHeight="1">
      <c r="A297" s="1" t="s">
        <v>1139</v>
      </c>
      <c r="B297" s="1" t="s">
        <v>1140</v>
      </c>
      <c r="C297" s="1" t="s">
        <v>1141</v>
      </c>
      <c r="D297" s="1" t="s">
        <v>1142</v>
      </c>
      <c r="E297" s="1" t="s">
        <v>1143</v>
      </c>
      <c r="F297" s="1"/>
    </row>
    <row r="298" spans="1:6" ht="27.4" customHeight="1">
      <c r="A298" s="1" t="s">
        <v>1144</v>
      </c>
      <c r="B298" s="1" t="s">
        <v>1145</v>
      </c>
      <c r="C298" s="1" t="s">
        <v>1146</v>
      </c>
      <c r="D298" s="1" t="s">
        <v>1147</v>
      </c>
      <c r="E298" s="1" t="s">
        <v>1148</v>
      </c>
      <c r="F298" s="1"/>
    </row>
    <row r="299" spans="1:6" ht="41.1" customHeight="1">
      <c r="A299" s="1" t="s">
        <v>1149</v>
      </c>
      <c r="B299" s="1" t="s">
        <v>1150</v>
      </c>
      <c r="C299" s="1" t="s">
        <v>1151</v>
      </c>
      <c r="D299" s="1"/>
      <c r="E299" s="1" t="s">
        <v>1152</v>
      </c>
      <c r="F299" s="1"/>
    </row>
    <row r="300" spans="1:6">
      <c r="A300" s="1" t="s">
        <v>1055</v>
      </c>
      <c r="B300" s="1" t="s">
        <v>1153</v>
      </c>
      <c r="C300" s="1" t="s">
        <v>560</v>
      </c>
      <c r="D300" s="1"/>
      <c r="E300" s="1" t="s">
        <v>1154</v>
      </c>
      <c r="F300" s="1"/>
    </row>
    <row r="301" spans="1:6">
      <c r="A301" s="1" t="s">
        <v>1155</v>
      </c>
      <c r="B301" s="1" t="s">
        <v>1156</v>
      </c>
      <c r="C301" s="1" t="s">
        <v>1157</v>
      </c>
      <c r="D301" s="1" t="s">
        <v>1158</v>
      </c>
      <c r="E301" s="1" t="s">
        <v>1159</v>
      </c>
      <c r="F301" s="1"/>
    </row>
    <row r="302" spans="1:6">
      <c r="A302" s="1"/>
      <c r="B302" s="1"/>
      <c r="C302" s="1"/>
      <c r="D302" s="1"/>
      <c r="E302" s="1"/>
      <c r="F302" s="1"/>
    </row>
    <row r="303" spans="1:6" ht="54.75" customHeight="1">
      <c r="A303" s="11" t="s">
        <v>1160</v>
      </c>
      <c r="B303" s="11"/>
      <c r="C303" s="11"/>
      <c r="D303" s="11"/>
      <c r="E303" s="11"/>
      <c r="F303" s="11"/>
    </row>
    <row r="304" spans="1:6">
      <c r="A304" s="1" t="s">
        <v>1161</v>
      </c>
      <c r="B304" s="1" t="s">
        <v>1162</v>
      </c>
      <c r="C304" s="1" t="s">
        <v>1163</v>
      </c>
      <c r="D304" s="1"/>
      <c r="E304" s="1" t="s">
        <v>1164</v>
      </c>
      <c r="F304" s="1"/>
    </row>
    <row r="305" spans="1:6">
      <c r="A305" s="1" t="s">
        <v>1165</v>
      </c>
      <c r="B305" s="1" t="s">
        <v>1166</v>
      </c>
      <c r="C305" s="1" t="s">
        <v>1167</v>
      </c>
      <c r="D305" s="1" t="s">
        <v>1168</v>
      </c>
      <c r="E305" s="1" t="s">
        <v>1169</v>
      </c>
      <c r="F305" s="1"/>
    </row>
    <row r="306" spans="1:6">
      <c r="A306" s="1" t="s">
        <v>1170</v>
      </c>
      <c r="B306" s="1" t="s">
        <v>1171</v>
      </c>
      <c r="C306" s="1" t="s">
        <v>1167</v>
      </c>
      <c r="D306" s="1"/>
      <c r="E306" s="1" t="s">
        <v>1172</v>
      </c>
      <c r="F306" s="1"/>
    </row>
    <row r="307" spans="1:6" ht="27.4" customHeight="1">
      <c r="A307" s="1" t="s">
        <v>1173</v>
      </c>
      <c r="B307" s="1" t="s">
        <v>1174</v>
      </c>
      <c r="C307" s="1" t="s">
        <v>1175</v>
      </c>
      <c r="D307" s="1" t="s">
        <v>1176</v>
      </c>
      <c r="E307" s="1" t="s">
        <v>1177</v>
      </c>
      <c r="F307" s="1"/>
    </row>
    <row r="308" spans="1:6">
      <c r="A308" s="1" t="s">
        <v>1178</v>
      </c>
      <c r="B308" s="1" t="s">
        <v>1179</v>
      </c>
      <c r="C308" s="1" t="s">
        <v>1180</v>
      </c>
      <c r="D308" s="1" t="s">
        <v>1181</v>
      </c>
      <c r="E308" s="1" t="s">
        <v>1182</v>
      </c>
      <c r="F308" s="1"/>
    </row>
    <row r="309" spans="1:6" ht="27.4" customHeight="1">
      <c r="A309" s="1" t="s">
        <v>55</v>
      </c>
      <c r="B309" s="1" t="s">
        <v>1183</v>
      </c>
      <c r="C309" s="1" t="s">
        <v>1184</v>
      </c>
      <c r="D309" s="1" t="s">
        <v>1185</v>
      </c>
      <c r="E309" s="1" t="s">
        <v>1186</v>
      </c>
      <c r="F309" s="1"/>
    </row>
    <row r="310" spans="1:6">
      <c r="A310" s="1" t="s">
        <v>1187</v>
      </c>
      <c r="B310" s="1" t="s">
        <v>1188</v>
      </c>
      <c r="C310" s="1" t="s">
        <v>1189</v>
      </c>
      <c r="D310" s="1"/>
      <c r="E310" s="1" t="s">
        <v>1190</v>
      </c>
      <c r="F310" s="1"/>
    </row>
    <row r="311" spans="1:6" ht="27.4" customHeight="1">
      <c r="A311" s="1" t="s">
        <v>1191</v>
      </c>
      <c r="B311" s="1" t="s">
        <v>1192</v>
      </c>
      <c r="C311" s="1" t="s">
        <v>1163</v>
      </c>
      <c r="D311" s="1"/>
      <c r="E311" s="1"/>
      <c r="F311" s="1"/>
    </row>
    <row r="312" spans="1:6" ht="41.1" customHeight="1">
      <c r="A312" s="1" t="s">
        <v>1193</v>
      </c>
      <c r="B312" s="1" t="s">
        <v>1194</v>
      </c>
      <c r="C312" s="1" t="s">
        <v>1195</v>
      </c>
      <c r="D312" s="1" t="s">
        <v>1196</v>
      </c>
      <c r="E312" s="1" t="s">
        <v>1197</v>
      </c>
      <c r="F312" s="1"/>
    </row>
    <row r="313" spans="1:6" ht="27.4" customHeight="1">
      <c r="A313" s="1" t="s">
        <v>920</v>
      </c>
      <c r="B313" s="1" t="s">
        <v>1198</v>
      </c>
      <c r="C313" s="1" t="s">
        <v>1199</v>
      </c>
      <c r="D313" s="1" t="s">
        <v>1200</v>
      </c>
      <c r="E313" s="1" t="s">
        <v>1201</v>
      </c>
      <c r="F313" s="1"/>
    </row>
    <row r="314" spans="1:6" ht="54.75" customHeight="1">
      <c r="A314" s="1" t="s">
        <v>1202</v>
      </c>
      <c r="B314" s="1" t="s">
        <v>1203</v>
      </c>
      <c r="C314" s="1" t="s">
        <v>1204</v>
      </c>
      <c r="D314" s="1" t="s">
        <v>1205</v>
      </c>
      <c r="E314" s="1" t="s">
        <v>1206</v>
      </c>
      <c r="F314" s="1"/>
    </row>
    <row r="315" spans="1:6">
      <c r="A315" s="1" t="s">
        <v>1207</v>
      </c>
      <c r="B315" s="1" t="s">
        <v>1208</v>
      </c>
      <c r="C315" s="1" t="s">
        <v>954</v>
      </c>
      <c r="D315" s="1"/>
      <c r="E315" s="1"/>
      <c r="F315" s="1"/>
    </row>
    <row r="316" spans="1:6">
      <c r="A316" s="1" t="s">
        <v>973</v>
      </c>
      <c r="B316" s="1" t="s">
        <v>1209</v>
      </c>
      <c r="C316" s="1" t="s">
        <v>954</v>
      </c>
      <c r="D316" s="1"/>
      <c r="E316" s="1"/>
      <c r="F316" s="1"/>
    </row>
    <row r="317" spans="1:6">
      <c r="A317" s="1" t="s">
        <v>1055</v>
      </c>
      <c r="B317" s="1" t="s">
        <v>1210</v>
      </c>
      <c r="C317" s="1" t="s">
        <v>560</v>
      </c>
      <c r="D317" s="1"/>
      <c r="E317" s="1"/>
      <c r="F317" s="1"/>
    </row>
    <row r="318" spans="1:6">
      <c r="A318" s="1" t="s">
        <v>1211</v>
      </c>
      <c r="B318" s="1" t="s">
        <v>1212</v>
      </c>
      <c r="C318" s="1" t="s">
        <v>830</v>
      </c>
      <c r="D318" s="1"/>
      <c r="E318" s="1"/>
      <c r="F318" s="1"/>
    </row>
    <row r="319" spans="1:6" ht="27.4" customHeight="1">
      <c r="A319" s="1" t="s">
        <v>1213</v>
      </c>
      <c r="B319" s="1" t="s">
        <v>1214</v>
      </c>
      <c r="C319" s="1" t="s">
        <v>560</v>
      </c>
      <c r="D319" s="1"/>
      <c r="E319" s="1"/>
      <c r="F319" s="1"/>
    </row>
    <row r="320" spans="1:6">
      <c r="A320" s="1"/>
      <c r="B320" s="1"/>
      <c r="C320" s="1"/>
      <c r="D320" s="1"/>
      <c r="E320" s="1"/>
      <c r="F320" s="1"/>
    </row>
    <row r="321" spans="1:6" ht="51" customHeight="1">
      <c r="A321" s="11" t="s">
        <v>1215</v>
      </c>
      <c r="B321" s="11"/>
      <c r="C321" s="11"/>
      <c r="D321" s="11"/>
      <c r="E321" s="11"/>
      <c r="F321" s="11"/>
    </row>
    <row r="322" spans="1:6" ht="27.4" customHeight="1">
      <c r="A322" s="1" t="s">
        <v>1216</v>
      </c>
      <c r="B322" s="1" t="s">
        <v>1217</v>
      </c>
      <c r="C322" s="1" t="s">
        <v>989</v>
      </c>
      <c r="D322" s="1"/>
      <c r="E322" s="1" t="s">
        <v>1218</v>
      </c>
      <c r="F322" s="1"/>
    </row>
    <row r="323" spans="1:6" ht="27.4" customHeight="1">
      <c r="A323" s="1" t="s">
        <v>1219</v>
      </c>
      <c r="B323" s="1" t="s">
        <v>1220</v>
      </c>
      <c r="C323" s="1" t="s">
        <v>1221</v>
      </c>
      <c r="D323" s="1" t="s">
        <v>1222</v>
      </c>
      <c r="E323" s="1" t="s">
        <v>1223</v>
      </c>
      <c r="F323" s="1"/>
    </row>
    <row r="324" spans="1:6" ht="27.4" customHeight="1">
      <c r="A324" s="1" t="s">
        <v>1224</v>
      </c>
      <c r="B324" s="1" t="s">
        <v>1225</v>
      </c>
      <c r="C324" s="1" t="s">
        <v>1226</v>
      </c>
      <c r="D324" s="1" t="s">
        <v>1227</v>
      </c>
      <c r="E324" s="1" t="s">
        <v>1228</v>
      </c>
      <c r="F324" s="1"/>
    </row>
    <row r="325" spans="1:6">
      <c r="A325" s="1" t="s">
        <v>1229</v>
      </c>
      <c r="B325" s="1" t="s">
        <v>1230</v>
      </c>
      <c r="C325" s="1" t="s">
        <v>1231</v>
      </c>
      <c r="D325" s="1" t="s">
        <v>1232</v>
      </c>
      <c r="E325" s="1" t="s">
        <v>1233</v>
      </c>
      <c r="F325" s="1"/>
    </row>
    <row r="326" spans="1:6">
      <c r="A326" s="1" t="s">
        <v>1234</v>
      </c>
      <c r="B326" s="1" t="s">
        <v>1235</v>
      </c>
      <c r="C326" s="1" t="s">
        <v>1221</v>
      </c>
      <c r="D326" s="1" t="s">
        <v>1236</v>
      </c>
      <c r="E326" s="1" t="s">
        <v>1237</v>
      </c>
      <c r="F326" s="1"/>
    </row>
    <row r="327" spans="1:6" ht="27.4" customHeight="1">
      <c r="A327" s="1" t="s">
        <v>56</v>
      </c>
      <c r="B327" s="1" t="s">
        <v>1238</v>
      </c>
      <c r="C327" s="1" t="s">
        <v>1239</v>
      </c>
      <c r="D327" s="1" t="s">
        <v>1222</v>
      </c>
      <c r="E327" s="1" t="s">
        <v>1240</v>
      </c>
      <c r="F327" s="1"/>
    </row>
    <row r="328" spans="1:6" ht="27.4" customHeight="1">
      <c r="A328" s="1" t="s">
        <v>1241</v>
      </c>
      <c r="B328" s="1" t="s">
        <v>1242</v>
      </c>
      <c r="C328" s="1" t="s">
        <v>1163</v>
      </c>
      <c r="D328" s="1"/>
      <c r="E328" s="1" t="s">
        <v>1243</v>
      </c>
      <c r="F328" s="1"/>
    </row>
    <row r="329" spans="1:6" ht="27.4" customHeight="1">
      <c r="A329" s="1" t="s">
        <v>1244</v>
      </c>
      <c r="B329" s="1" t="s">
        <v>1245</v>
      </c>
      <c r="C329" s="1" t="s">
        <v>1246</v>
      </c>
      <c r="D329" s="1"/>
      <c r="E329" s="1"/>
      <c r="F329" s="1"/>
    </row>
    <row r="330" spans="1:6" ht="27.4" customHeight="1">
      <c r="A330" s="1" t="s">
        <v>1055</v>
      </c>
      <c r="B330" s="1" t="s">
        <v>1247</v>
      </c>
      <c r="C330" s="1" t="s">
        <v>560</v>
      </c>
      <c r="D330" s="1"/>
      <c r="E330" s="1"/>
      <c r="F330" s="1"/>
    </row>
    <row r="331" spans="1:6">
      <c r="A331" s="1"/>
      <c r="B331" s="1"/>
      <c r="C331" s="1"/>
      <c r="D331" s="1"/>
      <c r="E331" s="1"/>
      <c r="F331" s="1"/>
    </row>
    <row r="332" spans="1:6" ht="43.5" customHeight="1">
      <c r="A332" s="11" t="s">
        <v>1248</v>
      </c>
      <c r="B332" s="11"/>
      <c r="C332" s="11"/>
      <c r="D332" s="11"/>
      <c r="E332" s="11"/>
      <c r="F332" s="11"/>
    </row>
    <row r="333" spans="1:6" ht="27.4" customHeight="1">
      <c r="A333" s="1" t="s">
        <v>1249</v>
      </c>
      <c r="B333" s="1" t="s">
        <v>1250</v>
      </c>
      <c r="C333" s="1" t="s">
        <v>1251</v>
      </c>
      <c r="D333" s="1"/>
      <c r="E333" s="1" t="s">
        <v>1252</v>
      </c>
      <c r="F333" s="1"/>
    </row>
    <row r="334" spans="1:6" ht="27.4" customHeight="1">
      <c r="A334" s="1" t="s">
        <v>1253</v>
      </c>
      <c r="B334" s="1" t="s">
        <v>1254</v>
      </c>
      <c r="C334" s="1" t="s">
        <v>1255</v>
      </c>
      <c r="D334" s="1" t="s">
        <v>1256</v>
      </c>
      <c r="E334" s="1" t="s">
        <v>1257</v>
      </c>
      <c r="F334" s="1"/>
    </row>
    <row r="335" spans="1:6" ht="28.5">
      <c r="A335" s="1" t="s">
        <v>1258</v>
      </c>
      <c r="B335" s="1" t="s">
        <v>1259</v>
      </c>
      <c r="C335" s="1" t="s">
        <v>1055</v>
      </c>
      <c r="D335" s="1"/>
      <c r="E335" s="1" t="s">
        <v>1260</v>
      </c>
      <c r="F335" s="1"/>
    </row>
    <row r="336" spans="1:6">
      <c r="A336" s="1" t="s">
        <v>1211</v>
      </c>
      <c r="B336" s="1" t="s">
        <v>1261</v>
      </c>
      <c r="C336" s="1" t="s">
        <v>830</v>
      </c>
      <c r="D336" s="1"/>
      <c r="E336" s="1"/>
      <c r="F336" s="1"/>
    </row>
    <row r="337" spans="1:6">
      <c r="A337" s="1"/>
      <c r="B337" s="1"/>
      <c r="C337" s="1"/>
      <c r="D337" s="1"/>
      <c r="E337" s="1"/>
      <c r="F337" s="1"/>
    </row>
    <row r="338" spans="1:6" ht="41.1" customHeight="1">
      <c r="A338" s="11" t="s">
        <v>1262</v>
      </c>
      <c r="B338" s="11"/>
      <c r="C338" s="11"/>
      <c r="D338" s="11"/>
      <c r="E338" s="11"/>
      <c r="F338" s="11"/>
    </row>
    <row r="339" spans="1:6" ht="27.4" customHeight="1">
      <c r="A339" s="1" t="s">
        <v>1253</v>
      </c>
      <c r="B339" s="1" t="s">
        <v>1263</v>
      </c>
      <c r="C339" s="1" t="s">
        <v>1255</v>
      </c>
      <c r="D339" s="1" t="s">
        <v>1256</v>
      </c>
      <c r="E339" s="1" t="s">
        <v>1264</v>
      </c>
      <c r="F339" s="1"/>
    </row>
    <row r="340" spans="1:6" ht="27.4" customHeight="1">
      <c r="A340" s="1" t="s">
        <v>1265</v>
      </c>
      <c r="B340" s="1" t="s">
        <v>1266</v>
      </c>
      <c r="C340" s="1" t="s">
        <v>1267</v>
      </c>
      <c r="D340" s="1" t="s">
        <v>1268</v>
      </c>
      <c r="E340" s="1" t="s">
        <v>1269</v>
      </c>
      <c r="F340" s="1"/>
    </row>
    <row r="341" spans="1:6">
      <c r="A341" s="1" t="s">
        <v>350</v>
      </c>
      <c r="B341" s="1" t="s">
        <v>1270</v>
      </c>
      <c r="C341" s="1" t="s">
        <v>1271</v>
      </c>
      <c r="D341" s="1" t="s">
        <v>1272</v>
      </c>
      <c r="E341" s="1"/>
      <c r="F341" s="1"/>
    </row>
    <row r="342" spans="1:6" ht="27.4" customHeight="1">
      <c r="A342" s="1" t="s">
        <v>5</v>
      </c>
      <c r="B342" s="1" t="s">
        <v>1273</v>
      </c>
      <c r="C342" s="1" t="s">
        <v>1055</v>
      </c>
      <c r="D342" s="1"/>
      <c r="E342" s="1" t="s">
        <v>1274</v>
      </c>
      <c r="F342" s="1"/>
    </row>
    <row r="343" spans="1:6">
      <c r="A343" s="1" t="s">
        <v>1251</v>
      </c>
      <c r="B343" s="1" t="s">
        <v>1275</v>
      </c>
      <c r="C343" s="1" t="s">
        <v>1251</v>
      </c>
      <c r="D343" s="1"/>
      <c r="E343" s="1"/>
      <c r="F343" s="1"/>
    </row>
    <row r="345" spans="1:6" ht="40.5" customHeight="1">
      <c r="A345" s="16" t="s">
        <v>1276</v>
      </c>
      <c r="B345" s="16"/>
      <c r="C345" s="16"/>
      <c r="D345" s="16"/>
      <c r="E345" s="16"/>
      <c r="F345" s="16"/>
    </row>
    <row r="346" spans="1:6" ht="27.4" customHeight="1">
      <c r="A346" s="1" t="s">
        <v>1277</v>
      </c>
      <c r="B346" s="1" t="s">
        <v>1278</v>
      </c>
      <c r="C346" s="1" t="s">
        <v>1279</v>
      </c>
      <c r="D346" s="1"/>
      <c r="E346" s="1" t="s">
        <v>1280</v>
      </c>
      <c r="F346" s="1"/>
    </row>
    <row r="347" spans="1:6" ht="28.5">
      <c r="A347" s="1" t="s">
        <v>1281</v>
      </c>
      <c r="B347" s="1" t="s">
        <v>1282</v>
      </c>
      <c r="C347" s="1" t="s">
        <v>1255</v>
      </c>
      <c r="D347" s="1"/>
      <c r="E347" s="1" t="s">
        <v>1283</v>
      </c>
      <c r="F347" s="1"/>
    </row>
    <row r="348" spans="1:6">
      <c r="A348" s="1" t="s">
        <v>1251</v>
      </c>
      <c r="B348" s="1" t="s">
        <v>1275</v>
      </c>
      <c r="C348" s="1" t="s">
        <v>1251</v>
      </c>
      <c r="D348" s="1"/>
      <c r="E348" s="1"/>
      <c r="F348" s="1"/>
    </row>
    <row r="350" spans="1:6" ht="41.25" customHeight="1">
      <c r="A350" s="17" t="s">
        <v>1284</v>
      </c>
      <c r="B350" s="17"/>
      <c r="C350" s="17"/>
      <c r="D350" s="17"/>
      <c r="E350" s="17"/>
      <c r="F350" s="17"/>
    </row>
    <row r="351" spans="1:6" ht="27.4" customHeight="1">
      <c r="A351" s="1" t="s">
        <v>1285</v>
      </c>
      <c r="B351" s="1" t="s">
        <v>1286</v>
      </c>
      <c r="C351" s="1" t="s">
        <v>1255</v>
      </c>
      <c r="D351" s="1" t="s">
        <v>1287</v>
      </c>
      <c r="E351" s="1" t="s">
        <v>1288</v>
      </c>
      <c r="F351" s="1"/>
    </row>
    <row r="352" spans="1:6">
      <c r="A352" s="1" t="s">
        <v>1289</v>
      </c>
      <c r="B352" s="1" t="s">
        <v>1290</v>
      </c>
      <c r="C352" s="1" t="s">
        <v>1255</v>
      </c>
      <c r="D352" s="1" t="s">
        <v>1256</v>
      </c>
      <c r="E352" s="1"/>
      <c r="F352" s="1"/>
    </row>
    <row r="353" spans="1:6" ht="41.1" customHeight="1">
      <c r="A353" s="1" t="s">
        <v>1291</v>
      </c>
      <c r="B353" s="1" t="s">
        <v>1292</v>
      </c>
      <c r="C353" s="1" t="s">
        <v>1255</v>
      </c>
      <c r="D353" s="1" t="s">
        <v>1293</v>
      </c>
      <c r="E353" s="1" t="s">
        <v>1294</v>
      </c>
      <c r="F353" s="1"/>
    </row>
    <row r="354" spans="1:6" ht="27.4" customHeight="1">
      <c r="A354" s="1" t="s">
        <v>1295</v>
      </c>
      <c r="B354" s="1" t="s">
        <v>1296</v>
      </c>
      <c r="C354" s="1" t="s">
        <v>1279</v>
      </c>
      <c r="D354" s="1"/>
      <c r="E354" s="1"/>
      <c r="F354" s="1"/>
    </row>
    <row r="356" spans="1:6" ht="41.1" customHeight="1">
      <c r="A356" s="18" t="s">
        <v>1297</v>
      </c>
      <c r="B356" s="18"/>
      <c r="C356" s="18"/>
      <c r="D356" s="18"/>
      <c r="E356" s="18"/>
      <c r="F356" s="18"/>
    </row>
    <row r="357" spans="1:6">
      <c r="A357" s="1" t="s">
        <v>1298</v>
      </c>
      <c r="B357" s="1" t="s">
        <v>1299</v>
      </c>
      <c r="C357" s="1" t="s">
        <v>1255</v>
      </c>
      <c r="D357" s="1" t="s">
        <v>1287</v>
      </c>
      <c r="E357" s="1" t="s">
        <v>1300</v>
      </c>
      <c r="F357" s="1"/>
    </row>
    <row r="358" spans="1:6">
      <c r="A358" s="1" t="s">
        <v>1301</v>
      </c>
      <c r="B358" s="1" t="s">
        <v>1302</v>
      </c>
      <c r="C358" s="1" t="s">
        <v>1303</v>
      </c>
      <c r="D358" s="1" t="s">
        <v>1304</v>
      </c>
      <c r="E358" s="1" t="s">
        <v>1305</v>
      </c>
      <c r="F358" s="1"/>
    </row>
    <row r="359" spans="1:6">
      <c r="A359" s="1" t="s">
        <v>1306</v>
      </c>
      <c r="B359" s="1" t="s">
        <v>1307</v>
      </c>
      <c r="C359" s="1" t="s">
        <v>1303</v>
      </c>
      <c r="D359" s="1" t="s">
        <v>1304</v>
      </c>
      <c r="E359" s="1" t="s">
        <v>1308</v>
      </c>
      <c r="F359" s="1"/>
    </row>
    <row r="360" spans="1:6" ht="27.4" customHeight="1">
      <c r="A360" s="1" t="s">
        <v>1309</v>
      </c>
      <c r="B360" s="1" t="s">
        <v>1310</v>
      </c>
      <c r="C360" s="1" t="s">
        <v>1303</v>
      </c>
      <c r="D360" s="1" t="s">
        <v>1311</v>
      </c>
      <c r="E360" s="1" t="s">
        <v>1312</v>
      </c>
      <c r="F360" s="1"/>
    </row>
    <row r="361" spans="1:6">
      <c r="A361" s="1" t="s">
        <v>1313</v>
      </c>
      <c r="B361" s="1" t="s">
        <v>1314</v>
      </c>
      <c r="C361" s="1" t="s">
        <v>1303</v>
      </c>
      <c r="D361" s="1" t="s">
        <v>1315</v>
      </c>
      <c r="E361" s="1" t="s">
        <v>1316</v>
      </c>
      <c r="F361" s="1"/>
    </row>
    <row r="362" spans="1:6" ht="27.4" customHeight="1">
      <c r="A362" s="1" t="s">
        <v>1317</v>
      </c>
      <c r="B362" s="1" t="s">
        <v>1318</v>
      </c>
      <c r="C362" s="1" t="s">
        <v>1319</v>
      </c>
      <c r="D362" s="1" t="s">
        <v>1320</v>
      </c>
      <c r="E362" s="1" t="s">
        <v>1321</v>
      </c>
      <c r="F362" s="1"/>
    </row>
    <row r="363" spans="1:6" ht="27.4" customHeight="1">
      <c r="A363" s="1" t="s">
        <v>1322</v>
      </c>
      <c r="B363" s="1" t="s">
        <v>1323</v>
      </c>
      <c r="C363" s="1" t="s">
        <v>1324</v>
      </c>
      <c r="D363" s="1" t="s">
        <v>1325</v>
      </c>
      <c r="E363" s="1" t="s">
        <v>1326</v>
      </c>
      <c r="F363" s="1"/>
    </row>
    <row r="364" spans="1:6" ht="27.4" customHeight="1">
      <c r="A364" s="1" t="s">
        <v>1327</v>
      </c>
      <c r="B364" s="1" t="s">
        <v>1328</v>
      </c>
      <c r="C364" s="1" t="s">
        <v>560</v>
      </c>
      <c r="D364" s="1"/>
      <c r="E364" s="1" t="s">
        <v>1329</v>
      </c>
      <c r="F364" s="1"/>
    </row>
    <row r="365" spans="1:6">
      <c r="A365" s="1" t="s">
        <v>1251</v>
      </c>
      <c r="B365" s="1" t="s">
        <v>1275</v>
      </c>
      <c r="C365" s="1" t="s">
        <v>1251</v>
      </c>
      <c r="D365" s="1"/>
      <c r="E365" s="1"/>
      <c r="F365" s="1"/>
    </row>
    <row r="367" spans="1:6" ht="41.25" customHeight="1">
      <c r="A367" s="19" t="s">
        <v>1330</v>
      </c>
      <c r="B367" s="19"/>
      <c r="C367" s="19"/>
      <c r="D367" s="19"/>
      <c r="E367" s="19"/>
      <c r="F367" s="19"/>
    </row>
    <row r="368" spans="1:6">
      <c r="A368" s="1" t="s">
        <v>1331</v>
      </c>
      <c r="B368" s="1" t="s">
        <v>1332</v>
      </c>
      <c r="C368" s="1" t="s">
        <v>1303</v>
      </c>
      <c r="D368" s="1" t="s">
        <v>1315</v>
      </c>
      <c r="E368" s="1" t="s">
        <v>1333</v>
      </c>
      <c r="F368" s="1"/>
    </row>
    <row r="369" spans="1:6">
      <c r="A369" s="1" t="s">
        <v>1334</v>
      </c>
      <c r="B369" s="1" t="s">
        <v>1335</v>
      </c>
      <c r="C369" s="1" t="s">
        <v>1319</v>
      </c>
      <c r="D369" s="1" t="s">
        <v>1336</v>
      </c>
      <c r="E369" s="1"/>
      <c r="F369" s="1"/>
    </row>
    <row r="370" spans="1:6" ht="27.4" customHeight="1">
      <c r="A370" s="1" t="s">
        <v>1337</v>
      </c>
      <c r="B370" s="1" t="s">
        <v>1338</v>
      </c>
      <c r="C370" s="1" t="s">
        <v>1271</v>
      </c>
      <c r="D370" s="1" t="s">
        <v>1339</v>
      </c>
      <c r="E370" s="1" t="s">
        <v>1340</v>
      </c>
      <c r="F370" s="1"/>
    </row>
    <row r="371" spans="1:6" ht="27.4" customHeight="1">
      <c r="A371" s="1" t="s">
        <v>1341</v>
      </c>
      <c r="B371" s="1" t="s">
        <v>1342</v>
      </c>
      <c r="C371" s="1" t="s">
        <v>817</v>
      </c>
      <c r="D371" s="1"/>
      <c r="E371" s="1" t="s">
        <v>1343</v>
      </c>
      <c r="F371" s="1"/>
    </row>
    <row r="372" spans="1:6">
      <c r="A372" s="1" t="s">
        <v>1344</v>
      </c>
      <c r="B372" s="1" t="s">
        <v>1345</v>
      </c>
      <c r="C372" s="1" t="s">
        <v>1324</v>
      </c>
      <c r="D372" s="1"/>
      <c r="E372" s="1" t="s">
        <v>1346</v>
      </c>
      <c r="F372" s="1"/>
    </row>
    <row r="373" spans="1:6" ht="27.4" customHeight="1">
      <c r="A373" s="1" t="s">
        <v>1347</v>
      </c>
      <c r="B373" s="1" t="s">
        <v>1348</v>
      </c>
      <c r="C373" s="1" t="s">
        <v>1163</v>
      </c>
      <c r="D373" s="1"/>
      <c r="E373" s="1" t="s">
        <v>1349</v>
      </c>
      <c r="F373" s="1"/>
    </row>
    <row r="374" spans="1:6">
      <c r="A374" s="1" t="s">
        <v>1251</v>
      </c>
      <c r="B374" s="1" t="s">
        <v>1275</v>
      </c>
      <c r="C374" s="1" t="s">
        <v>1251</v>
      </c>
      <c r="D374" s="1"/>
      <c r="E374" s="1"/>
      <c r="F374" s="1"/>
    </row>
    <row r="376" spans="1:6" ht="37.5" customHeight="1">
      <c r="A376" s="20" t="s">
        <v>1350</v>
      </c>
      <c r="B376" s="20"/>
      <c r="C376" s="20"/>
      <c r="D376" s="20"/>
      <c r="E376" s="20"/>
      <c r="F376" s="20"/>
    </row>
    <row r="377" spans="1:6">
      <c r="A377" s="1" t="s">
        <v>1351</v>
      </c>
      <c r="B377" s="1" t="s">
        <v>1352</v>
      </c>
      <c r="C377" s="1" t="s">
        <v>1255</v>
      </c>
      <c r="D377" s="1" t="s">
        <v>1353</v>
      </c>
      <c r="E377" s="1" t="s">
        <v>1354</v>
      </c>
      <c r="F377" s="1"/>
    </row>
    <row r="378" spans="1:6" ht="27.4" customHeight="1">
      <c r="A378" s="1" t="s">
        <v>1355</v>
      </c>
      <c r="B378" s="1" t="s">
        <v>1356</v>
      </c>
      <c r="C378" s="1" t="s">
        <v>1357</v>
      </c>
      <c r="D378" s="1" t="s">
        <v>1358</v>
      </c>
      <c r="E378" s="1"/>
      <c r="F378" s="1"/>
    </row>
    <row r="379" spans="1:6">
      <c r="A379" s="1" t="s">
        <v>1251</v>
      </c>
      <c r="B379" s="1" t="s">
        <v>1275</v>
      </c>
      <c r="C379" s="1" t="s">
        <v>1251</v>
      </c>
      <c r="D379" s="1"/>
      <c r="E379" s="1"/>
      <c r="F379" s="1"/>
    </row>
    <row r="381" spans="1:6" ht="30">
      <c r="A381" s="21" t="s">
        <v>1359</v>
      </c>
      <c r="B381" s="21"/>
      <c r="C381" s="21"/>
      <c r="D381" s="21"/>
      <c r="E381" s="21"/>
      <c r="F381" s="21"/>
    </row>
    <row r="382" spans="1:6" ht="27.4" customHeight="1">
      <c r="A382" s="1" t="s">
        <v>1360</v>
      </c>
      <c r="B382" s="1" t="s">
        <v>1361</v>
      </c>
      <c r="C382" s="1" t="s">
        <v>1255</v>
      </c>
      <c r="D382" s="1" t="s">
        <v>1362</v>
      </c>
      <c r="E382" s="1" t="s">
        <v>1363</v>
      </c>
      <c r="F382" s="1"/>
    </row>
    <row r="383" spans="1:6">
      <c r="A383" s="1" t="s">
        <v>1364</v>
      </c>
      <c r="B383" s="1" t="s">
        <v>1365</v>
      </c>
      <c r="C383" s="1" t="s">
        <v>1255</v>
      </c>
      <c r="D383" s="1" t="s">
        <v>1366</v>
      </c>
      <c r="E383" s="1"/>
      <c r="F383" s="1"/>
    </row>
    <row r="384" spans="1:6">
      <c r="A384" s="1" t="s">
        <v>1251</v>
      </c>
      <c r="B384" s="1" t="s">
        <v>1275</v>
      </c>
      <c r="C384" s="1" t="s">
        <v>1251</v>
      </c>
      <c r="D384" s="1"/>
      <c r="E384" s="1"/>
      <c r="F384" s="1"/>
    </row>
    <row r="385" spans="1:6" ht="43.5" customHeight="1">
      <c r="A385" s="24" t="s">
        <v>1367</v>
      </c>
      <c r="B385" s="24"/>
      <c r="C385" s="24"/>
      <c r="D385" s="24"/>
      <c r="E385" s="24"/>
      <c r="F385" s="24"/>
    </row>
    <row r="386" spans="1:6">
      <c r="A386" s="1" t="s">
        <v>1368</v>
      </c>
      <c r="B386" s="1" t="s">
        <v>1369</v>
      </c>
      <c r="C386" s="1" t="s">
        <v>1255</v>
      </c>
      <c r="D386" s="1" t="s">
        <v>1370</v>
      </c>
      <c r="E386" s="1" t="s">
        <v>1371</v>
      </c>
      <c r="F386" s="1"/>
    </row>
    <row r="387" spans="1:6">
      <c r="A387" s="1" t="s">
        <v>1253</v>
      </c>
      <c r="B387" s="1" t="s">
        <v>1372</v>
      </c>
      <c r="C387" s="1" t="s">
        <v>1255</v>
      </c>
      <c r="D387" s="1" t="s">
        <v>1287</v>
      </c>
      <c r="E387" s="1"/>
      <c r="F387" s="1"/>
    </row>
    <row r="388" spans="1:6">
      <c r="A388" s="1" t="s">
        <v>1251</v>
      </c>
      <c r="B388" s="1" t="s">
        <v>1275</v>
      </c>
      <c r="C388" s="1" t="s">
        <v>1251</v>
      </c>
      <c r="D388" s="1"/>
      <c r="E388" s="1"/>
      <c r="F388" s="1"/>
    </row>
    <row r="390" spans="1:6">
      <c r="A390" t="s">
        <v>1373</v>
      </c>
    </row>
    <row r="391" spans="1:6">
      <c r="A391" t="s">
        <v>1374</v>
      </c>
      <c r="B391" t="s">
        <v>1375</v>
      </c>
      <c r="C391" t="s">
        <v>1251</v>
      </c>
      <c r="E391" t="s">
        <v>1376</v>
      </c>
    </row>
    <row r="392" spans="1:6">
      <c r="A392" t="s">
        <v>155</v>
      </c>
      <c r="B392" t="s">
        <v>156</v>
      </c>
      <c r="C392" t="s">
        <v>560</v>
      </c>
      <c r="E392" t="s">
        <v>1377</v>
      </c>
    </row>
    <row r="393" spans="1:6">
      <c r="A393" t="s">
        <v>1378</v>
      </c>
      <c r="B393" t="s">
        <v>1379</v>
      </c>
      <c r="C393" t="s">
        <v>1380</v>
      </c>
      <c r="E393" t="s">
        <v>1381</v>
      </c>
    </row>
    <row r="394" spans="1:6">
      <c r="A394" t="s">
        <v>1211</v>
      </c>
      <c r="B394" t="s">
        <v>1382</v>
      </c>
      <c r="C394" t="s">
        <v>830</v>
      </c>
    </row>
    <row r="395" spans="1:6">
      <c r="A395" t="s">
        <v>1383</v>
      </c>
    </row>
    <row r="396" spans="1:6">
      <c r="A396" t="s">
        <v>1384</v>
      </c>
      <c r="B396" t="s">
        <v>1385</v>
      </c>
      <c r="C396" t="s">
        <v>1281</v>
      </c>
      <c r="E396" t="s">
        <v>1386</v>
      </c>
    </row>
    <row r="397" spans="1:6">
      <c r="A397" t="s">
        <v>1387</v>
      </c>
      <c r="B397" t="s">
        <v>1388</v>
      </c>
      <c r="C397" t="s">
        <v>1380</v>
      </c>
      <c r="E397" t="s">
        <v>1389</v>
      </c>
    </row>
    <row r="398" spans="1:6">
      <c r="A398" t="s">
        <v>1390</v>
      </c>
      <c r="B398" t="s">
        <v>1391</v>
      </c>
      <c r="C398" t="s">
        <v>1392</v>
      </c>
      <c r="E398" t="s">
        <v>1393</v>
      </c>
    </row>
    <row r="399" spans="1:6">
      <c r="A399" t="s">
        <v>1394</v>
      </c>
      <c r="B399" t="s">
        <v>1395</v>
      </c>
      <c r="C399" t="s">
        <v>1392</v>
      </c>
      <c r="E399" t="s">
        <v>1396</v>
      </c>
    </row>
    <row r="400" spans="1:6">
      <c r="A400" t="s">
        <v>1211</v>
      </c>
      <c r="B400" t="s">
        <v>1397</v>
      </c>
      <c r="C400" t="s">
        <v>830</v>
      </c>
    </row>
    <row r="401" spans="1:6">
      <c r="A401" t="s">
        <v>1398</v>
      </c>
    </row>
    <row r="402" spans="1:6">
      <c r="A402" t="s">
        <v>1106</v>
      </c>
      <c r="B402" t="s">
        <v>1399</v>
      </c>
      <c r="C402" t="s">
        <v>1400</v>
      </c>
      <c r="E402" t="s">
        <v>1401</v>
      </c>
    </row>
    <row r="403" spans="1:6">
      <c r="A403" t="s">
        <v>1163</v>
      </c>
      <c r="B403" t="s">
        <v>1402</v>
      </c>
      <c r="C403" t="s">
        <v>1380</v>
      </c>
      <c r="E403" t="s">
        <v>1403</v>
      </c>
    </row>
    <row r="404" spans="1:6">
      <c r="A404" t="s">
        <v>1211</v>
      </c>
      <c r="B404" t="s">
        <v>1404</v>
      </c>
      <c r="C404" t="s">
        <v>830</v>
      </c>
    </row>
    <row r="405" spans="1:6">
      <c r="A405" t="s">
        <v>1405</v>
      </c>
    </row>
    <row r="406" spans="1:6">
      <c r="A406" t="s">
        <v>1406</v>
      </c>
      <c r="B406" t="s">
        <v>1407</v>
      </c>
      <c r="C406" t="s">
        <v>1408</v>
      </c>
      <c r="E406" t="s">
        <v>1409</v>
      </c>
    </row>
    <row r="407" spans="1:6" ht="41.1" customHeight="1">
      <c r="A407" s="1" t="s">
        <v>1410</v>
      </c>
      <c r="B407" s="1" t="s">
        <v>1411</v>
      </c>
      <c r="C407" s="1" t="s">
        <v>1412</v>
      </c>
      <c r="D407" s="1"/>
      <c r="E407" s="1" t="s">
        <v>1413</v>
      </c>
      <c r="F407" s="1"/>
    </row>
    <row r="408" spans="1:6" ht="27.4" customHeight="1">
      <c r="A408" s="1" t="s">
        <v>1414</v>
      </c>
      <c r="B408" s="1" t="s">
        <v>1415</v>
      </c>
      <c r="C408" s="1" t="s">
        <v>1416</v>
      </c>
      <c r="D408" s="1"/>
      <c r="E408" s="1" t="s">
        <v>1417</v>
      </c>
      <c r="F408" s="1"/>
    </row>
    <row r="409" spans="1:6">
      <c r="A409" t="s">
        <v>1418</v>
      </c>
      <c r="B409" t="s">
        <v>1419</v>
      </c>
      <c r="C409" t="s">
        <v>1416</v>
      </c>
      <c r="E409" t="s">
        <v>1420</v>
      </c>
    </row>
    <row r="410" spans="1:6">
      <c r="A410" t="s">
        <v>1421</v>
      </c>
      <c r="B410" t="s">
        <v>1422</v>
      </c>
      <c r="C410" t="s">
        <v>1423</v>
      </c>
      <c r="E410" t="s">
        <v>1424</v>
      </c>
    </row>
    <row r="411" spans="1:6">
      <c r="A411" t="s">
        <v>1211</v>
      </c>
      <c r="B411" t="s">
        <v>1425</v>
      </c>
      <c r="C411" t="s">
        <v>830</v>
      </c>
    </row>
    <row r="412" spans="1:6">
      <c r="A412" t="s">
        <v>1426</v>
      </c>
    </row>
    <row r="413" spans="1:6">
      <c r="A413" t="s">
        <v>1427</v>
      </c>
      <c r="B413" t="s">
        <v>1428</v>
      </c>
      <c r="C413" t="s">
        <v>1429</v>
      </c>
      <c r="E413" t="s">
        <v>1430</v>
      </c>
    </row>
    <row r="414" spans="1:6" ht="27.4" customHeight="1">
      <c r="A414" s="1" t="s">
        <v>1431</v>
      </c>
      <c r="B414" s="1" t="s">
        <v>1432</v>
      </c>
      <c r="C414" s="1" t="s">
        <v>1429</v>
      </c>
      <c r="D414" s="1"/>
      <c r="E414" s="1" t="s">
        <v>1433</v>
      </c>
      <c r="F414" s="1"/>
    </row>
    <row r="415" spans="1:6">
      <c r="A415" t="s">
        <v>1434</v>
      </c>
      <c r="B415" t="s">
        <v>1435</v>
      </c>
      <c r="C415" t="s">
        <v>1436</v>
      </c>
    </row>
    <row r="416" spans="1:6">
      <c r="A416" t="s">
        <v>1437</v>
      </c>
      <c r="B416" t="s">
        <v>1435</v>
      </c>
      <c r="C416" t="s">
        <v>1438</v>
      </c>
    </row>
    <row r="417" spans="1:5">
      <c r="A417" t="s">
        <v>1439</v>
      </c>
      <c r="B417" t="s">
        <v>1435</v>
      </c>
      <c r="C417" t="s">
        <v>1440</v>
      </c>
    </row>
    <row r="418" spans="1:5">
      <c r="A418" t="s">
        <v>1441</v>
      </c>
      <c r="B418" t="s">
        <v>1435</v>
      </c>
      <c r="C418" t="s">
        <v>1442</v>
      </c>
    </row>
    <row r="419" spans="1:5">
      <c r="A419" t="s">
        <v>1443</v>
      </c>
      <c r="B419" t="s">
        <v>1435</v>
      </c>
      <c r="C419" t="s">
        <v>1444</v>
      </c>
    </row>
    <row r="420" spans="1:5">
      <c r="A420" t="s">
        <v>1445</v>
      </c>
      <c r="B420" t="s">
        <v>1435</v>
      </c>
      <c r="C420" t="s">
        <v>1446</v>
      </c>
    </row>
    <row r="421" spans="1:5">
      <c r="A421" t="s">
        <v>1447</v>
      </c>
      <c r="B421" t="s">
        <v>1435</v>
      </c>
      <c r="C421" t="s">
        <v>1448</v>
      </c>
    </row>
    <row r="422" spans="1:5">
      <c r="A422" t="s">
        <v>1449</v>
      </c>
      <c r="B422" t="s">
        <v>1435</v>
      </c>
      <c r="C422" t="s">
        <v>1450</v>
      </c>
    </row>
    <row r="423" spans="1:5">
      <c r="A423" t="s">
        <v>1451</v>
      </c>
      <c r="B423" t="s">
        <v>1435</v>
      </c>
      <c r="C423" t="s">
        <v>1452</v>
      </c>
    </row>
    <row r="424" spans="1:5">
      <c r="A424" t="s">
        <v>1453</v>
      </c>
    </row>
    <row r="425" spans="1:5">
      <c r="A425" t="s">
        <v>546</v>
      </c>
      <c r="B425" t="s">
        <v>1454</v>
      </c>
      <c r="C425" t="s">
        <v>1455</v>
      </c>
      <c r="E425" t="s">
        <v>1456</v>
      </c>
    </row>
    <row r="426" spans="1:5">
      <c r="A426" t="s">
        <v>1457</v>
      </c>
      <c r="B426" t="s">
        <v>1458</v>
      </c>
      <c r="C426" t="s">
        <v>1459</v>
      </c>
      <c r="E426" t="s">
        <v>1460</v>
      </c>
    </row>
    <row r="427" spans="1:5">
      <c r="A427" t="s">
        <v>1461</v>
      </c>
      <c r="B427" t="s">
        <v>1462</v>
      </c>
      <c r="C427" t="s">
        <v>1459</v>
      </c>
      <c r="E427" t="s">
        <v>1463</v>
      </c>
    </row>
    <row r="428" spans="1:5">
      <c r="A428" t="s">
        <v>1464</v>
      </c>
      <c r="B428" t="s">
        <v>1465</v>
      </c>
      <c r="C428" t="s">
        <v>1466</v>
      </c>
      <c r="E428" t="s">
        <v>1467</v>
      </c>
    </row>
    <row r="429" spans="1:5">
      <c r="A429" t="s">
        <v>1468</v>
      </c>
      <c r="B429" t="s">
        <v>1469</v>
      </c>
      <c r="C429" t="s">
        <v>1459</v>
      </c>
      <c r="E429" t="s">
        <v>1470</v>
      </c>
    </row>
    <row r="430" spans="1:5">
      <c r="A430" t="s">
        <v>1471</v>
      </c>
      <c r="B430" t="s">
        <v>1472</v>
      </c>
      <c r="C430" t="s">
        <v>1459</v>
      </c>
      <c r="E430" t="s">
        <v>1473</v>
      </c>
    </row>
    <row r="431" spans="1:5">
      <c r="A431" t="s">
        <v>1474</v>
      </c>
      <c r="B431" t="s">
        <v>1475</v>
      </c>
      <c r="C431" t="s">
        <v>1476</v>
      </c>
      <c r="E431" t="s">
        <v>1477</v>
      </c>
    </row>
    <row r="432" spans="1:5">
      <c r="A432" t="s">
        <v>1478</v>
      </c>
      <c r="B432" t="s">
        <v>1479</v>
      </c>
      <c r="C432" t="s">
        <v>1480</v>
      </c>
      <c r="E432" t="s">
        <v>1481</v>
      </c>
    </row>
    <row r="433" spans="1:6">
      <c r="A433" t="s">
        <v>1482</v>
      </c>
      <c r="B433" t="s">
        <v>1483</v>
      </c>
      <c r="C433" t="s">
        <v>1484</v>
      </c>
      <c r="E433" t="s">
        <v>1485</v>
      </c>
    </row>
    <row r="434" spans="1:6">
      <c r="A434" t="s">
        <v>1486</v>
      </c>
      <c r="B434" t="s">
        <v>1487</v>
      </c>
      <c r="C434" t="s">
        <v>1488</v>
      </c>
      <c r="E434" t="s">
        <v>1489</v>
      </c>
    </row>
    <row r="435" spans="1:6">
      <c r="A435" t="s">
        <v>1490</v>
      </c>
      <c r="B435" t="s">
        <v>1491</v>
      </c>
      <c r="C435" t="s">
        <v>1488</v>
      </c>
      <c r="E435" t="s">
        <v>1492</v>
      </c>
    </row>
    <row r="436" spans="1:6" ht="41.1" customHeight="1">
      <c r="A436" s="1" t="s">
        <v>1493</v>
      </c>
      <c r="B436" s="1" t="s">
        <v>1494</v>
      </c>
      <c r="C436" s="1" t="s">
        <v>1488</v>
      </c>
      <c r="D436" s="1"/>
      <c r="E436" s="1" t="s">
        <v>1495</v>
      </c>
      <c r="F436" s="1"/>
    </row>
    <row r="437" spans="1:6">
      <c r="A437" t="s">
        <v>1496</v>
      </c>
      <c r="B437" t="s">
        <v>1497</v>
      </c>
      <c r="C437" t="s">
        <v>1498</v>
      </c>
      <c r="E437" t="s">
        <v>1499</v>
      </c>
    </row>
    <row r="438" spans="1:6">
      <c r="A438" t="s">
        <v>1500</v>
      </c>
      <c r="B438" t="s">
        <v>1501</v>
      </c>
      <c r="C438" t="s">
        <v>1502</v>
      </c>
      <c r="E438" t="s">
        <v>1503</v>
      </c>
    </row>
    <row r="440" spans="1:6">
      <c r="A440" t="s">
        <v>1504</v>
      </c>
      <c r="B440" t="s">
        <v>1505</v>
      </c>
      <c r="C440" t="s">
        <v>1506</v>
      </c>
    </row>
    <row r="441" spans="1:6">
      <c r="A441" t="s">
        <v>1507</v>
      </c>
    </row>
    <row r="442" spans="1:6">
      <c r="A442" t="s">
        <v>1508</v>
      </c>
      <c r="B442" t="s">
        <v>1509</v>
      </c>
      <c r="C442" t="s">
        <v>1510</v>
      </c>
      <c r="D442" t="s">
        <v>1511</v>
      </c>
      <c r="E442" t="s">
        <v>1512</v>
      </c>
    </row>
    <row r="443" spans="1:6">
      <c r="A443" t="s">
        <v>1513</v>
      </c>
      <c r="B443" t="s">
        <v>1514</v>
      </c>
      <c r="C443" t="s">
        <v>819</v>
      </c>
      <c r="D443" t="s">
        <v>1515</v>
      </c>
      <c r="E443" t="s">
        <v>1516</v>
      </c>
    </row>
    <row r="444" spans="1:6">
      <c r="A444" t="s">
        <v>1517</v>
      </c>
      <c r="B444" t="s">
        <v>1518</v>
      </c>
      <c r="C444" t="s">
        <v>819</v>
      </c>
      <c r="D444" t="s">
        <v>1519</v>
      </c>
      <c r="E444" t="s">
        <v>1520</v>
      </c>
    </row>
    <row r="445" spans="1:6">
      <c r="A445" t="s">
        <v>1521</v>
      </c>
      <c r="B445" t="s">
        <v>1522</v>
      </c>
      <c r="C445" t="s">
        <v>1523</v>
      </c>
      <c r="D445" t="s">
        <v>1524</v>
      </c>
      <c r="E445" t="s">
        <v>1525</v>
      </c>
    </row>
    <row r="446" spans="1:6">
      <c r="A446" t="s">
        <v>1526</v>
      </c>
      <c r="B446" t="s">
        <v>1527</v>
      </c>
      <c r="C446" t="s">
        <v>1523</v>
      </c>
      <c r="D446" t="s">
        <v>1528</v>
      </c>
      <c r="E446" t="s">
        <v>1529</v>
      </c>
    </row>
    <row r="447" spans="1:6">
      <c r="A447" t="s">
        <v>1530</v>
      </c>
      <c r="B447" t="s">
        <v>1531</v>
      </c>
      <c r="C447" t="s">
        <v>1532</v>
      </c>
      <c r="D447" t="s">
        <v>874</v>
      </c>
      <c r="E447" t="s">
        <v>1533</v>
      </c>
    </row>
    <row r="448" spans="1:6">
      <c r="A448" t="s">
        <v>1534</v>
      </c>
      <c r="B448" t="s">
        <v>1535</v>
      </c>
      <c r="C448" t="s">
        <v>1536</v>
      </c>
      <c r="D448" t="s">
        <v>1537</v>
      </c>
      <c r="E448" t="s">
        <v>1538</v>
      </c>
    </row>
    <row r="449" spans="1:5">
      <c r="A449" t="s">
        <v>1539</v>
      </c>
      <c r="B449" t="s">
        <v>1540</v>
      </c>
      <c r="C449" t="s">
        <v>1536</v>
      </c>
      <c r="D449" t="s">
        <v>1541</v>
      </c>
      <c r="E449" t="s">
        <v>1542</v>
      </c>
    </row>
    <row r="450" spans="1:5">
      <c r="A450" t="s">
        <v>1543</v>
      </c>
      <c r="B450" t="s">
        <v>1544</v>
      </c>
      <c r="C450" t="s">
        <v>1545</v>
      </c>
      <c r="E450" t="s">
        <v>1546</v>
      </c>
    </row>
    <row r="451" spans="1:5">
      <c r="A451" t="s">
        <v>1547</v>
      </c>
    </row>
    <row r="452" spans="1:5">
      <c r="A452" t="s">
        <v>1163</v>
      </c>
      <c r="B452" t="s">
        <v>1548</v>
      </c>
      <c r="C452" t="s">
        <v>1549</v>
      </c>
      <c r="E452" t="s">
        <v>1550</v>
      </c>
    </row>
    <row r="453" spans="1:5">
      <c r="A453" t="s">
        <v>1551</v>
      </c>
      <c r="B453" t="s">
        <v>1552</v>
      </c>
      <c r="C453" t="s">
        <v>1549</v>
      </c>
      <c r="D453" t="s">
        <v>1553</v>
      </c>
      <c r="E453" t="s">
        <v>1554</v>
      </c>
    </row>
    <row r="454" spans="1:5">
      <c r="A454" t="s">
        <v>1555</v>
      </c>
      <c r="B454" t="s">
        <v>1556</v>
      </c>
      <c r="C454" t="s">
        <v>1549</v>
      </c>
      <c r="E454" t="s">
        <v>1557</v>
      </c>
    </row>
    <row r="455" spans="1:5">
      <c r="A455" t="s">
        <v>1558</v>
      </c>
      <c r="B455" t="s">
        <v>1559</v>
      </c>
      <c r="C455" t="s">
        <v>1560</v>
      </c>
      <c r="E455" t="s">
        <v>1561</v>
      </c>
    </row>
    <row r="456" spans="1:5">
      <c r="A456" t="s">
        <v>1562</v>
      </c>
      <c r="B456" t="s">
        <v>1563</v>
      </c>
      <c r="C456" t="s">
        <v>1564</v>
      </c>
      <c r="D456" t="s">
        <v>1565</v>
      </c>
      <c r="E456" t="s">
        <v>1566</v>
      </c>
    </row>
    <row r="457" spans="1:5">
      <c r="A457" t="s">
        <v>1567</v>
      </c>
      <c r="B457" t="s">
        <v>1568</v>
      </c>
      <c r="C457" t="s">
        <v>1569</v>
      </c>
      <c r="E457" t="s">
        <v>1570</v>
      </c>
    </row>
    <row r="458" spans="1:5">
      <c r="A458" t="s">
        <v>1571</v>
      </c>
      <c r="B458" t="s">
        <v>1572</v>
      </c>
      <c r="C458" t="s">
        <v>1549</v>
      </c>
      <c r="E458" t="s">
        <v>1573</v>
      </c>
    </row>
    <row r="459" spans="1:5">
      <c r="A459" t="s">
        <v>1574</v>
      </c>
      <c r="B459" t="s">
        <v>1575</v>
      </c>
      <c r="C459" t="s">
        <v>560</v>
      </c>
      <c r="E459" t="s">
        <v>1576</v>
      </c>
    </row>
    <row r="460" spans="1:5">
      <c r="A460" t="s">
        <v>1577</v>
      </c>
      <c r="B460" t="s">
        <v>1578</v>
      </c>
      <c r="C460" t="s">
        <v>1579</v>
      </c>
      <c r="E460" t="s">
        <v>1580</v>
      </c>
    </row>
    <row r="461" spans="1:5">
      <c r="A461" t="s">
        <v>1581</v>
      </c>
      <c r="B461" t="s">
        <v>1505</v>
      </c>
      <c r="C461" t="s">
        <v>1582</v>
      </c>
    </row>
    <row r="462" spans="1:5">
      <c r="A462" t="s">
        <v>1583</v>
      </c>
      <c r="B462" t="s">
        <v>1505</v>
      </c>
      <c r="C462" t="s">
        <v>1584</v>
      </c>
    </row>
    <row r="463" spans="1:5">
      <c r="A463" t="s">
        <v>1585</v>
      </c>
      <c r="B463" t="s">
        <v>1505</v>
      </c>
      <c r="C463" t="s">
        <v>1586</v>
      </c>
    </row>
    <row r="464" spans="1:5">
      <c r="A464" t="s">
        <v>1587</v>
      </c>
    </row>
    <row r="465" spans="1:6">
      <c r="A465" t="s">
        <v>1588</v>
      </c>
      <c r="B465" t="s">
        <v>1589</v>
      </c>
      <c r="C465" t="s">
        <v>1590</v>
      </c>
      <c r="D465" t="s">
        <v>1591</v>
      </c>
      <c r="E465" t="s">
        <v>1592</v>
      </c>
    </row>
    <row r="466" spans="1:6">
      <c r="A466" t="s">
        <v>1593</v>
      </c>
      <c r="B466" t="s">
        <v>1594</v>
      </c>
      <c r="C466" t="s">
        <v>1595</v>
      </c>
      <c r="D466" t="s">
        <v>1596</v>
      </c>
      <c r="E466" t="s">
        <v>1597</v>
      </c>
    </row>
    <row r="467" spans="1:6">
      <c r="A467" t="s">
        <v>1598</v>
      </c>
      <c r="B467" t="s">
        <v>1599</v>
      </c>
      <c r="C467" t="s">
        <v>878</v>
      </c>
      <c r="D467" t="s">
        <v>1600</v>
      </c>
      <c r="E467" t="s">
        <v>1601</v>
      </c>
    </row>
    <row r="468" spans="1:6">
      <c r="A468" t="s">
        <v>1602</v>
      </c>
      <c r="B468" t="s">
        <v>1603</v>
      </c>
      <c r="C468" t="s">
        <v>1604</v>
      </c>
      <c r="D468" t="s">
        <v>1605</v>
      </c>
      <c r="E468" t="s">
        <v>1606</v>
      </c>
    </row>
    <row r="469" spans="1:6">
      <c r="A469" t="s">
        <v>1607</v>
      </c>
      <c r="B469" t="s">
        <v>1608</v>
      </c>
      <c r="C469" t="s">
        <v>1146</v>
      </c>
      <c r="E469" t="s">
        <v>1609</v>
      </c>
    </row>
    <row r="470" spans="1:6">
      <c r="A470" t="s">
        <v>1574</v>
      </c>
      <c r="B470" t="s">
        <v>1610</v>
      </c>
      <c r="C470" t="s">
        <v>560</v>
      </c>
    </row>
    <row r="471" spans="1:6">
      <c r="A471" t="s">
        <v>1611</v>
      </c>
      <c r="B471" t="s">
        <v>1505</v>
      </c>
      <c r="C471" t="s">
        <v>1612</v>
      </c>
    </row>
    <row r="472" spans="1:6" ht="27.4" customHeight="1">
      <c r="A472" s="1" t="s">
        <v>1613</v>
      </c>
      <c r="B472" s="1"/>
      <c r="C472" s="1"/>
      <c r="D472" s="1"/>
      <c r="E472" s="1"/>
      <c r="F472" s="1"/>
    </row>
    <row r="473" spans="1:6" ht="41.1" customHeight="1">
      <c r="A473" s="1" t="s">
        <v>1614</v>
      </c>
      <c r="B473" s="1" t="s">
        <v>1615</v>
      </c>
      <c r="C473" s="1" t="s">
        <v>1549</v>
      </c>
      <c r="D473" s="1" t="s">
        <v>300</v>
      </c>
      <c r="E473" s="1" t="s">
        <v>1616</v>
      </c>
      <c r="F473" s="1"/>
    </row>
    <row r="474" spans="1:6" ht="41.1" customHeight="1">
      <c r="A474" s="1" t="s">
        <v>1617</v>
      </c>
      <c r="B474" s="1" t="s">
        <v>1618</v>
      </c>
      <c r="C474" s="1" t="s">
        <v>1619</v>
      </c>
      <c r="D474" s="1" t="s">
        <v>1620</v>
      </c>
      <c r="E474" s="1" t="s">
        <v>1621</v>
      </c>
      <c r="F474" s="1"/>
    </row>
    <row r="475" spans="1:6" ht="41.1" customHeight="1">
      <c r="A475" s="1" t="s">
        <v>1622</v>
      </c>
      <c r="B475" s="1" t="s">
        <v>1623</v>
      </c>
      <c r="C475" s="1" t="s">
        <v>1619</v>
      </c>
      <c r="D475" s="1" t="s">
        <v>1624</v>
      </c>
      <c r="E475" s="1" t="s">
        <v>1625</v>
      </c>
      <c r="F475" s="1"/>
    </row>
    <row r="476" spans="1:6" ht="41.1" customHeight="1">
      <c r="A476" s="1" t="s">
        <v>1626</v>
      </c>
      <c r="B476" s="1" t="s">
        <v>1627</v>
      </c>
      <c r="C476" s="1" t="s">
        <v>1549</v>
      </c>
      <c r="D476" s="1"/>
      <c r="E476" s="1" t="s">
        <v>1628</v>
      </c>
      <c r="F476" s="1"/>
    </row>
    <row r="477" spans="1:6" ht="27.4" customHeight="1">
      <c r="A477" s="1" t="s">
        <v>1629</v>
      </c>
      <c r="B477" s="1" t="s">
        <v>1630</v>
      </c>
      <c r="C477" s="1" t="s">
        <v>1631</v>
      </c>
      <c r="D477" s="1"/>
      <c r="E477" s="1" t="s">
        <v>1632</v>
      </c>
      <c r="F477" s="1"/>
    </row>
    <row r="478" spans="1:6" ht="41.1" customHeight="1">
      <c r="A478" s="1" t="s">
        <v>560</v>
      </c>
      <c r="B478" s="1" t="s">
        <v>1633</v>
      </c>
      <c r="C478" s="1" t="s">
        <v>1634</v>
      </c>
      <c r="D478" s="1"/>
      <c r="E478" s="1"/>
      <c r="F478" s="1"/>
    </row>
    <row r="479" spans="1:6" ht="68.45" customHeight="1">
      <c r="A479" s="1" t="s">
        <v>1635</v>
      </c>
      <c r="B479" s="1" t="s">
        <v>1505</v>
      </c>
      <c r="C479" s="1" t="s">
        <v>1636</v>
      </c>
      <c r="D479" s="1"/>
      <c r="E479" s="1"/>
      <c r="F479" s="1"/>
    </row>
    <row r="480" spans="1:6" ht="27.4" customHeight="1">
      <c r="A480" s="1" t="s">
        <v>1637</v>
      </c>
      <c r="B480" s="1"/>
      <c r="C480" s="1"/>
      <c r="D480" s="1"/>
      <c r="E480" s="1"/>
      <c r="F480" s="1"/>
    </row>
    <row r="481" spans="1:6" ht="27.4" customHeight="1">
      <c r="A481" s="1" t="s">
        <v>1638</v>
      </c>
      <c r="B481" s="1" t="s">
        <v>1639</v>
      </c>
      <c r="C481" s="1" t="s">
        <v>1640</v>
      </c>
      <c r="D481" s="1" t="s">
        <v>1591</v>
      </c>
      <c r="E481" s="1" t="s">
        <v>1641</v>
      </c>
      <c r="F481" s="1"/>
    </row>
    <row r="482" spans="1:6" ht="27.4" customHeight="1">
      <c r="A482" s="1" t="s">
        <v>1642</v>
      </c>
      <c r="B482" s="1" t="s">
        <v>1643</v>
      </c>
      <c r="C482" s="1" t="s">
        <v>837</v>
      </c>
      <c r="D482" s="1"/>
      <c r="E482" s="1" t="s">
        <v>1644</v>
      </c>
      <c r="F482" s="1"/>
    </row>
    <row r="483" spans="1:6" ht="27.4" customHeight="1">
      <c r="A483" s="1" t="s">
        <v>1645</v>
      </c>
      <c r="B483" s="1" t="s">
        <v>1646</v>
      </c>
      <c r="C483" s="1" t="s">
        <v>1647</v>
      </c>
      <c r="D483" s="1"/>
      <c r="E483" s="1"/>
      <c r="F483" s="1"/>
    </row>
    <row r="484" spans="1:6" ht="27.4" customHeight="1">
      <c r="A484" s="1" t="s">
        <v>1648</v>
      </c>
      <c r="B484" s="1" t="s">
        <v>1649</v>
      </c>
      <c r="C484" s="1" t="s">
        <v>1647</v>
      </c>
      <c r="D484" s="1"/>
      <c r="E484" s="1"/>
      <c r="F484" s="1"/>
    </row>
    <row r="485" spans="1:6" ht="41.1" customHeight="1">
      <c r="A485" s="1" t="s">
        <v>1650</v>
      </c>
      <c r="B485" s="1" t="s">
        <v>1651</v>
      </c>
      <c r="C485" s="1" t="s">
        <v>560</v>
      </c>
      <c r="D485" s="1"/>
      <c r="E485" s="1"/>
      <c r="F485" s="1"/>
    </row>
    <row r="486" spans="1:6" ht="54.75" customHeight="1">
      <c r="A486" s="1" t="s">
        <v>1549</v>
      </c>
      <c r="B486" s="1" t="s">
        <v>1652</v>
      </c>
      <c r="C486" s="1" t="s">
        <v>1653</v>
      </c>
      <c r="D486" s="1"/>
      <c r="E486" s="1"/>
      <c r="F486" s="1"/>
    </row>
    <row r="487" spans="1:6" ht="54.75" customHeight="1">
      <c r="A487" s="1" t="s">
        <v>1654</v>
      </c>
      <c r="B487" s="1" t="s">
        <v>1505</v>
      </c>
      <c r="C487" s="1" t="s">
        <v>1655</v>
      </c>
      <c r="D487" s="1"/>
      <c r="E487" s="1"/>
      <c r="F487" s="1"/>
    </row>
    <row r="488" spans="1:6">
      <c r="A488" t="s">
        <v>1656</v>
      </c>
    </row>
    <row r="489" spans="1:6">
      <c r="A489" t="s">
        <v>1657</v>
      </c>
      <c r="B489" t="s">
        <v>1658</v>
      </c>
      <c r="C489" t="s">
        <v>1619</v>
      </c>
      <c r="D489" t="s">
        <v>1659</v>
      </c>
      <c r="E489" t="s">
        <v>1660</v>
      </c>
    </row>
    <row r="490" spans="1:6">
      <c r="A490" t="s">
        <v>1661</v>
      </c>
      <c r="B490" t="s">
        <v>1662</v>
      </c>
      <c r="C490" t="s">
        <v>1590</v>
      </c>
      <c r="E490" t="s">
        <v>1663</v>
      </c>
    </row>
    <row r="491" spans="1:6">
      <c r="A491" t="s">
        <v>1664</v>
      </c>
      <c r="B491" t="s">
        <v>1665</v>
      </c>
      <c r="C491" t="s">
        <v>1666</v>
      </c>
      <c r="E491" t="s">
        <v>1667</v>
      </c>
    </row>
    <row r="492" spans="1:6">
      <c r="A492" t="s">
        <v>1668</v>
      </c>
      <c r="B492" t="s">
        <v>1669</v>
      </c>
      <c r="C492" t="s">
        <v>1666</v>
      </c>
    </row>
    <row r="493" spans="1:6">
      <c r="A493" t="s">
        <v>1670</v>
      </c>
      <c r="B493" t="s">
        <v>1671</v>
      </c>
      <c r="C493" t="s">
        <v>1619</v>
      </c>
      <c r="D493" t="s">
        <v>1672</v>
      </c>
    </row>
    <row r="494" spans="1:6">
      <c r="A494" t="s">
        <v>1673</v>
      </c>
      <c r="B494" t="s">
        <v>1505</v>
      </c>
      <c r="C494" t="s">
        <v>1674</v>
      </c>
    </row>
    <row r="495" spans="1:6">
      <c r="A495" t="s">
        <v>1675</v>
      </c>
    </row>
    <row r="496" spans="1:6">
      <c r="A496" t="s">
        <v>1216</v>
      </c>
      <c r="B496" t="s">
        <v>1676</v>
      </c>
      <c r="C496" t="s">
        <v>1677</v>
      </c>
      <c r="D496" t="s">
        <v>1678</v>
      </c>
      <c r="E496" t="s">
        <v>1679</v>
      </c>
    </row>
    <row r="497" spans="1:5">
      <c r="A497" t="s">
        <v>1680</v>
      </c>
      <c r="B497" t="s">
        <v>1681</v>
      </c>
      <c r="C497" t="s">
        <v>1619</v>
      </c>
      <c r="D497" t="s">
        <v>1682</v>
      </c>
      <c r="E497" t="s">
        <v>1683</v>
      </c>
    </row>
    <row r="498" spans="1:5">
      <c r="A498" t="s">
        <v>1684</v>
      </c>
      <c r="B498" t="s">
        <v>1685</v>
      </c>
      <c r="C498" t="s">
        <v>1647</v>
      </c>
    </row>
    <row r="499" spans="1:5">
      <c r="A499" t="s">
        <v>823</v>
      </c>
      <c r="B499" t="s">
        <v>1686</v>
      </c>
      <c r="C499" t="s">
        <v>560</v>
      </c>
    </row>
    <row r="500" spans="1:5">
      <c r="A500" t="s">
        <v>1687</v>
      </c>
      <c r="B500" t="s">
        <v>1505</v>
      </c>
      <c r="C500" t="s">
        <v>1688</v>
      </c>
    </row>
    <row r="501" spans="1:5">
      <c r="A501" t="s">
        <v>1689</v>
      </c>
    </row>
    <row r="502" spans="1:5">
      <c r="A502" t="s">
        <v>1690</v>
      </c>
      <c r="B502" t="s">
        <v>1691</v>
      </c>
      <c r="C502" t="s">
        <v>1692</v>
      </c>
      <c r="D502" t="s">
        <v>610</v>
      </c>
      <c r="E502" t="s">
        <v>1693</v>
      </c>
    </row>
    <row r="503" spans="1:5">
      <c r="A503" t="s">
        <v>1324</v>
      </c>
      <c r="B503" t="s">
        <v>1694</v>
      </c>
      <c r="C503" t="s">
        <v>1666</v>
      </c>
      <c r="D503" t="s">
        <v>1695</v>
      </c>
      <c r="E503" t="s">
        <v>1696</v>
      </c>
    </row>
    <row r="504" spans="1:5">
      <c r="A504" t="s">
        <v>1697</v>
      </c>
      <c r="B504" t="s">
        <v>1698</v>
      </c>
      <c r="C504" t="s">
        <v>1647</v>
      </c>
    </row>
    <row r="505" spans="1:5">
      <c r="A505" t="s">
        <v>1699</v>
      </c>
      <c r="B505" t="s">
        <v>1700</v>
      </c>
      <c r="C505" t="s">
        <v>1653</v>
      </c>
      <c r="D505" t="s">
        <v>1701</v>
      </c>
    </row>
    <row r="506" spans="1:5">
      <c r="A506" t="s">
        <v>1574</v>
      </c>
      <c r="B506" t="s">
        <v>1702</v>
      </c>
      <c r="C506" t="s">
        <v>1631</v>
      </c>
    </row>
    <row r="507" spans="1:5">
      <c r="A507" t="s">
        <v>1703</v>
      </c>
      <c r="B507" t="s">
        <v>1704</v>
      </c>
      <c r="C507" t="s">
        <v>1705</v>
      </c>
    </row>
    <row r="508" spans="1:5">
      <c r="A508" t="s">
        <v>1706</v>
      </c>
    </row>
    <row r="509" spans="1:5">
      <c r="A509" t="s">
        <v>1657</v>
      </c>
      <c r="B509" t="s">
        <v>1707</v>
      </c>
      <c r="C509" t="s">
        <v>1619</v>
      </c>
      <c r="D509" t="s">
        <v>1708</v>
      </c>
      <c r="E509" t="s">
        <v>1709</v>
      </c>
    </row>
    <row r="510" spans="1:5">
      <c r="A510" t="s">
        <v>1710</v>
      </c>
      <c r="B510" t="s">
        <v>1711</v>
      </c>
      <c r="C510" t="s">
        <v>1590</v>
      </c>
      <c r="D510" t="s">
        <v>1712</v>
      </c>
      <c r="E510" t="s">
        <v>1713</v>
      </c>
    </row>
    <row r="511" spans="1:5">
      <c r="A511" t="s">
        <v>1714</v>
      </c>
      <c r="B511" t="s">
        <v>1715</v>
      </c>
      <c r="C511" t="s">
        <v>1647</v>
      </c>
    </row>
    <row r="512" spans="1:5">
      <c r="A512" t="s">
        <v>560</v>
      </c>
      <c r="B512" t="s">
        <v>1716</v>
      </c>
      <c r="C512" t="s">
        <v>1717</v>
      </c>
      <c r="D512" t="s">
        <v>1718</v>
      </c>
    </row>
    <row r="513" spans="1:5">
      <c r="A513" t="s">
        <v>1549</v>
      </c>
      <c r="B513" t="s">
        <v>1719</v>
      </c>
      <c r="C513" t="s">
        <v>1631</v>
      </c>
    </row>
    <row r="514" spans="1:5">
      <c r="A514" t="s">
        <v>1720</v>
      </c>
      <c r="B514" t="s">
        <v>1704</v>
      </c>
      <c r="C514" t="s">
        <v>1721</v>
      </c>
    </row>
    <row r="515" spans="1:5">
      <c r="A515" t="s">
        <v>1722</v>
      </c>
    </row>
    <row r="516" spans="1:5">
      <c r="A516" t="s">
        <v>1657</v>
      </c>
      <c r="B516" t="s">
        <v>1723</v>
      </c>
      <c r="C516" t="s">
        <v>1619</v>
      </c>
      <c r="D516" t="s">
        <v>1569</v>
      </c>
      <c r="E516" t="s">
        <v>1724</v>
      </c>
    </row>
    <row r="517" spans="1:5">
      <c r="A517" t="s">
        <v>1710</v>
      </c>
      <c r="B517" t="s">
        <v>1725</v>
      </c>
      <c r="C517" t="s">
        <v>1726</v>
      </c>
      <c r="D517" t="s">
        <v>1727</v>
      </c>
      <c r="E517" t="s">
        <v>1728</v>
      </c>
    </row>
    <row r="518" spans="1:5">
      <c r="A518" t="s">
        <v>1729</v>
      </c>
      <c r="B518" t="s">
        <v>1730</v>
      </c>
      <c r="C518" t="s">
        <v>1731</v>
      </c>
      <c r="D518" t="s">
        <v>1732</v>
      </c>
    </row>
    <row r="519" spans="1:5">
      <c r="A519" t="s">
        <v>1733</v>
      </c>
      <c r="B519" t="s">
        <v>1734</v>
      </c>
      <c r="C519" t="s">
        <v>1735</v>
      </c>
    </row>
    <row r="520" spans="1:5">
      <c r="A520" t="s">
        <v>1736</v>
      </c>
      <c r="B520" t="s">
        <v>1737</v>
      </c>
      <c r="C520" t="s">
        <v>1717</v>
      </c>
      <c r="D520" t="s">
        <v>1738</v>
      </c>
    </row>
    <row r="521" spans="1:5">
      <c r="A521" t="s">
        <v>1549</v>
      </c>
      <c r="B521" t="s">
        <v>1739</v>
      </c>
      <c r="C521" t="s">
        <v>1631</v>
      </c>
    </row>
    <row r="522" spans="1:5">
      <c r="A522" t="s">
        <v>1740</v>
      </c>
      <c r="B522" t="s">
        <v>1741</v>
      </c>
      <c r="C522" t="s">
        <v>1742</v>
      </c>
    </row>
    <row r="523" spans="1:5">
      <c r="A523" t="s">
        <v>1743</v>
      </c>
    </row>
    <row r="524" spans="1:5">
      <c r="A524" t="s">
        <v>1163</v>
      </c>
      <c r="B524" t="s">
        <v>1744</v>
      </c>
      <c r="C524" t="s">
        <v>1745</v>
      </c>
      <c r="D524" t="s">
        <v>1746</v>
      </c>
      <c r="E524" t="s">
        <v>1747</v>
      </c>
    </row>
    <row r="525" spans="1:5">
      <c r="A525" t="s">
        <v>927</v>
      </c>
      <c r="B525" t="s">
        <v>1748</v>
      </c>
      <c r="C525" t="s">
        <v>1749</v>
      </c>
      <c r="D525" t="s">
        <v>1750</v>
      </c>
      <c r="E525" t="s">
        <v>1751</v>
      </c>
    </row>
    <row r="526" spans="1:5">
      <c r="A526" t="s">
        <v>931</v>
      </c>
      <c r="B526" t="s">
        <v>1752</v>
      </c>
      <c r="C526" t="s">
        <v>1753</v>
      </c>
      <c r="D526" t="s">
        <v>1754</v>
      </c>
      <c r="E526" t="s">
        <v>1755</v>
      </c>
    </row>
    <row r="527" spans="1:5">
      <c r="A527" t="s">
        <v>1756</v>
      </c>
      <c r="B527" t="s">
        <v>1757</v>
      </c>
      <c r="C527" t="s">
        <v>1753</v>
      </c>
      <c r="D527" t="s">
        <v>1758</v>
      </c>
      <c r="E527" t="s">
        <v>1759</v>
      </c>
    </row>
    <row r="528" spans="1:5">
      <c r="A528" t="s">
        <v>1760</v>
      </c>
      <c r="B528" t="s">
        <v>1761</v>
      </c>
      <c r="C528" t="s">
        <v>1762</v>
      </c>
      <c r="D528" t="s">
        <v>1763</v>
      </c>
      <c r="E528" t="s">
        <v>1764</v>
      </c>
    </row>
    <row r="529" spans="1:5">
      <c r="A529" t="s">
        <v>1765</v>
      </c>
      <c r="B529" t="s">
        <v>1766</v>
      </c>
      <c r="C529" t="s">
        <v>1767</v>
      </c>
      <c r="D529" t="s">
        <v>1768</v>
      </c>
      <c r="E529" t="s">
        <v>1769</v>
      </c>
    </row>
    <row r="530" spans="1:5">
      <c r="A530" t="s">
        <v>1097</v>
      </c>
      <c r="B530" t="s">
        <v>1770</v>
      </c>
      <c r="C530" t="s">
        <v>1771</v>
      </c>
      <c r="D530" t="s">
        <v>1429</v>
      </c>
    </row>
    <row r="531" spans="1:5">
      <c r="A531" t="s">
        <v>1772</v>
      </c>
      <c r="B531" t="s">
        <v>1773</v>
      </c>
      <c r="C531" t="s">
        <v>1774</v>
      </c>
      <c r="D531" t="s">
        <v>1775</v>
      </c>
    </row>
    <row r="532" spans="1:5">
      <c r="A532" t="s">
        <v>1775</v>
      </c>
      <c r="B532" t="s">
        <v>1776</v>
      </c>
      <c r="C532" t="s">
        <v>1777</v>
      </c>
    </row>
    <row r="533" spans="1:5">
      <c r="A533" t="s">
        <v>1778</v>
      </c>
    </row>
    <row r="534" spans="1:5">
      <c r="A534" t="s">
        <v>1779</v>
      </c>
      <c r="B534" t="s">
        <v>1780</v>
      </c>
      <c r="C534" t="s">
        <v>1753</v>
      </c>
      <c r="D534" t="s">
        <v>1781</v>
      </c>
      <c r="E534" t="s">
        <v>1782</v>
      </c>
    </row>
    <row r="535" spans="1:5">
      <c r="A535" t="s">
        <v>1783</v>
      </c>
      <c r="B535" t="s">
        <v>1784</v>
      </c>
      <c r="C535" t="s">
        <v>1753</v>
      </c>
      <c r="D535" t="s">
        <v>1785</v>
      </c>
    </row>
    <row r="536" spans="1:5">
      <c r="A536" t="s">
        <v>1768</v>
      </c>
      <c r="B536" t="s">
        <v>1786</v>
      </c>
      <c r="C536" t="s">
        <v>1753</v>
      </c>
      <c r="D536" t="s">
        <v>1787</v>
      </c>
      <c r="E536" t="s">
        <v>1788</v>
      </c>
    </row>
    <row r="537" spans="1:5">
      <c r="A537" t="s">
        <v>1789</v>
      </c>
      <c r="B537" t="s">
        <v>1790</v>
      </c>
      <c r="C537" t="s">
        <v>1791</v>
      </c>
      <c r="D537" t="s">
        <v>1792</v>
      </c>
    </row>
    <row r="538" spans="1:5">
      <c r="A538" t="s">
        <v>1281</v>
      </c>
      <c r="B538" t="s">
        <v>1793</v>
      </c>
      <c r="C538" t="s">
        <v>1753</v>
      </c>
      <c r="D538" t="s">
        <v>1794</v>
      </c>
    </row>
    <row r="539" spans="1:5">
      <c r="A539" t="s">
        <v>1795</v>
      </c>
      <c r="B539" t="s">
        <v>1796</v>
      </c>
      <c r="C539" t="s">
        <v>1762</v>
      </c>
      <c r="D539" t="s">
        <v>1797</v>
      </c>
    </row>
    <row r="540" spans="1:5">
      <c r="A540" t="s">
        <v>1653</v>
      </c>
      <c r="B540" t="s">
        <v>1798</v>
      </c>
      <c r="C540" t="s">
        <v>1745</v>
      </c>
      <c r="D540" t="s">
        <v>1799</v>
      </c>
    </row>
    <row r="541" spans="1:5">
      <c r="A541" t="s">
        <v>1800</v>
      </c>
      <c r="B541" t="s">
        <v>1776</v>
      </c>
      <c r="C541" t="s">
        <v>1801</v>
      </c>
    </row>
    <row r="542" spans="1:5">
      <c r="A542" t="s">
        <v>1802</v>
      </c>
    </row>
    <row r="543" spans="1:5">
      <c r="A543" t="s">
        <v>1779</v>
      </c>
      <c r="B543" t="s">
        <v>1803</v>
      </c>
      <c r="C543" t="s">
        <v>1753</v>
      </c>
      <c r="D543" t="s">
        <v>1804</v>
      </c>
      <c r="E543" t="s">
        <v>1805</v>
      </c>
    </row>
    <row r="544" spans="1:5">
      <c r="A544" t="s">
        <v>1710</v>
      </c>
      <c r="B544" t="s">
        <v>1806</v>
      </c>
      <c r="C544" t="s">
        <v>1590</v>
      </c>
      <c r="D544" t="s">
        <v>1807</v>
      </c>
      <c r="E544" t="s">
        <v>1808</v>
      </c>
    </row>
    <row r="545" spans="1:5">
      <c r="A545" t="s">
        <v>1645</v>
      </c>
      <c r="B545" t="s">
        <v>1809</v>
      </c>
      <c r="C545" t="s">
        <v>1810</v>
      </c>
      <c r="D545" t="s">
        <v>1811</v>
      </c>
    </row>
    <row r="546" spans="1:5">
      <c r="A546" t="s">
        <v>1812</v>
      </c>
      <c r="B546" t="s">
        <v>1813</v>
      </c>
      <c r="C546" t="s">
        <v>1814</v>
      </c>
      <c r="D546" t="s">
        <v>938</v>
      </c>
    </row>
    <row r="547" spans="1:5">
      <c r="A547" t="s">
        <v>1815</v>
      </c>
      <c r="B547" t="s">
        <v>1776</v>
      </c>
      <c r="C547" t="s">
        <v>1816</v>
      </c>
    </row>
    <row r="548" spans="1:5">
      <c r="A548" t="s">
        <v>1817</v>
      </c>
    </row>
    <row r="549" spans="1:5">
      <c r="A549" t="s">
        <v>1818</v>
      </c>
      <c r="B549" t="s">
        <v>1819</v>
      </c>
      <c r="C549" t="s">
        <v>1753</v>
      </c>
      <c r="D549" t="s">
        <v>1820</v>
      </c>
      <c r="E549" t="s">
        <v>1821</v>
      </c>
    </row>
    <row r="550" spans="1:5">
      <c r="A550" t="s">
        <v>1822</v>
      </c>
      <c r="B550" t="s">
        <v>1823</v>
      </c>
      <c r="C550" t="s">
        <v>1753</v>
      </c>
      <c r="D550" t="s">
        <v>1824</v>
      </c>
    </row>
    <row r="551" spans="1:5">
      <c r="A551" t="s">
        <v>1825</v>
      </c>
      <c r="B551" t="s">
        <v>1826</v>
      </c>
      <c r="C551" t="s">
        <v>1753</v>
      </c>
      <c r="D551" t="s">
        <v>1827</v>
      </c>
      <c r="E551" t="s">
        <v>1828</v>
      </c>
    </row>
    <row r="552" spans="1:5">
      <c r="A552" t="s">
        <v>1812</v>
      </c>
      <c r="B552" t="s">
        <v>1829</v>
      </c>
      <c r="C552" t="s">
        <v>1814</v>
      </c>
      <c r="D552" t="s">
        <v>938</v>
      </c>
    </row>
    <row r="553" spans="1:5">
      <c r="A553" t="s">
        <v>1830</v>
      </c>
      <c r="B553" t="s">
        <v>1776</v>
      </c>
      <c r="C553" t="s">
        <v>1831</v>
      </c>
    </row>
    <row r="554" spans="1:5">
      <c r="A554" t="s">
        <v>1832</v>
      </c>
    </row>
    <row r="555" spans="1:5">
      <c r="A555" t="s">
        <v>1779</v>
      </c>
      <c r="B555" t="s">
        <v>1833</v>
      </c>
      <c r="C555" t="s">
        <v>1753</v>
      </c>
      <c r="D555" t="s">
        <v>1834</v>
      </c>
      <c r="E555" t="s">
        <v>1835</v>
      </c>
    </row>
    <row r="556" spans="1:5">
      <c r="A556" t="s">
        <v>1710</v>
      </c>
      <c r="B556" t="s">
        <v>1836</v>
      </c>
      <c r="C556" t="s">
        <v>1753</v>
      </c>
      <c r="D556" t="s">
        <v>1837</v>
      </c>
    </row>
    <row r="557" spans="1:5">
      <c r="A557" t="s">
        <v>1838</v>
      </c>
      <c r="B557" t="s">
        <v>1776</v>
      </c>
      <c r="C557" t="s">
        <v>1839</v>
      </c>
    </row>
    <row r="558" spans="1:5">
      <c r="A558" t="s">
        <v>1840</v>
      </c>
    </row>
    <row r="559" spans="1:5">
      <c r="A559" t="s">
        <v>1841</v>
      </c>
      <c r="B559" t="s">
        <v>1842</v>
      </c>
      <c r="C559" t="s">
        <v>1753</v>
      </c>
      <c r="D559" t="s">
        <v>1843</v>
      </c>
      <c r="E559" t="s">
        <v>1844</v>
      </c>
    </row>
    <row r="560" spans="1:5">
      <c r="A560" t="s">
        <v>701</v>
      </c>
      <c r="B560" t="s">
        <v>1845</v>
      </c>
      <c r="C560" t="s">
        <v>1753</v>
      </c>
      <c r="D560" t="s">
        <v>1846</v>
      </c>
      <c r="E560" t="s">
        <v>1847</v>
      </c>
    </row>
    <row r="561" spans="1:5">
      <c r="A561" t="s">
        <v>1848</v>
      </c>
      <c r="B561" t="s">
        <v>1849</v>
      </c>
      <c r="C561" t="s">
        <v>1753</v>
      </c>
      <c r="D561" t="s">
        <v>1850</v>
      </c>
      <c r="E561" t="s">
        <v>1851</v>
      </c>
    </row>
    <row r="562" spans="1:5">
      <c r="A562" t="s">
        <v>1852</v>
      </c>
      <c r="B562" t="s">
        <v>1853</v>
      </c>
      <c r="C562" t="s">
        <v>1753</v>
      </c>
      <c r="D562" t="s">
        <v>1854</v>
      </c>
      <c r="E562" t="s">
        <v>1855</v>
      </c>
    </row>
    <row r="563" spans="1:5">
      <c r="A563" t="s">
        <v>1856</v>
      </c>
      <c r="B563" t="s">
        <v>1857</v>
      </c>
      <c r="C563" t="s">
        <v>1753</v>
      </c>
      <c r="D563" t="s">
        <v>1858</v>
      </c>
      <c r="E563" t="s">
        <v>1859</v>
      </c>
    </row>
    <row r="564" spans="1:5">
      <c r="A564" t="s">
        <v>1860</v>
      </c>
      <c r="B564" t="s">
        <v>1861</v>
      </c>
      <c r="C564" t="s">
        <v>1862</v>
      </c>
      <c r="D564" t="s">
        <v>1863</v>
      </c>
    </row>
    <row r="565" spans="1:5">
      <c r="A565" t="s">
        <v>1574</v>
      </c>
      <c r="B565" t="s">
        <v>1864</v>
      </c>
      <c r="C565" t="s">
        <v>1865</v>
      </c>
    </row>
    <row r="566" spans="1:5">
      <c r="A566" t="s">
        <v>1866</v>
      </c>
      <c r="B566" t="s">
        <v>1776</v>
      </c>
      <c r="C566" t="s">
        <v>1867</v>
      </c>
    </row>
    <row r="567" spans="1:5">
      <c r="A567" t="s">
        <v>1868</v>
      </c>
    </row>
    <row r="568" spans="1:5">
      <c r="A568" t="s">
        <v>1869</v>
      </c>
      <c r="B568" t="s">
        <v>1870</v>
      </c>
      <c r="C568" t="s">
        <v>1753</v>
      </c>
      <c r="D568" t="s">
        <v>1871</v>
      </c>
      <c r="E568" t="s">
        <v>1872</v>
      </c>
    </row>
    <row r="569" spans="1:5">
      <c r="A569" t="s">
        <v>1097</v>
      </c>
      <c r="B569" t="s">
        <v>1873</v>
      </c>
      <c r="C569" t="s">
        <v>1753</v>
      </c>
      <c r="D569" t="s">
        <v>1874</v>
      </c>
    </row>
    <row r="570" spans="1:5">
      <c r="A570" t="s">
        <v>1875</v>
      </c>
      <c r="B570" t="s">
        <v>1776</v>
      </c>
      <c r="C570" t="s">
        <v>1876</v>
      </c>
    </row>
    <row r="571" spans="1:5">
      <c r="A571" t="s">
        <v>1877</v>
      </c>
    </row>
    <row r="572" spans="1:5">
      <c r="A572" t="s">
        <v>1779</v>
      </c>
      <c r="B572" t="s">
        <v>1878</v>
      </c>
      <c r="C572" t="s">
        <v>1753</v>
      </c>
      <c r="D572" t="s">
        <v>1879</v>
      </c>
      <c r="E572" t="s">
        <v>1880</v>
      </c>
    </row>
    <row r="573" spans="1:5">
      <c r="A573" t="s">
        <v>1710</v>
      </c>
      <c r="B573" t="s">
        <v>1881</v>
      </c>
      <c r="C573" t="s">
        <v>1753</v>
      </c>
      <c r="D573" t="s">
        <v>1882</v>
      </c>
      <c r="E573" t="s">
        <v>1883</v>
      </c>
    </row>
    <row r="574" spans="1:5">
      <c r="A574" t="s">
        <v>1884</v>
      </c>
      <c r="B574" t="s">
        <v>1776</v>
      </c>
      <c r="C574" t="s">
        <v>1885</v>
      </c>
    </row>
    <row r="575" spans="1:5">
      <c r="A575" t="s">
        <v>1886</v>
      </c>
    </row>
    <row r="576" spans="1:5">
      <c r="A576" t="s">
        <v>1887</v>
      </c>
      <c r="B576" t="s">
        <v>1888</v>
      </c>
      <c r="C576" t="s">
        <v>1889</v>
      </c>
      <c r="D576" t="s">
        <v>1890</v>
      </c>
      <c r="E576" t="s">
        <v>1891</v>
      </c>
    </row>
    <row r="577" spans="1:5">
      <c r="A577" t="s">
        <v>70</v>
      </c>
      <c r="B577" t="s">
        <v>1892</v>
      </c>
      <c r="C577" t="s">
        <v>1753</v>
      </c>
      <c r="D577" t="s">
        <v>1893</v>
      </c>
      <c r="E577" t="s">
        <v>1894</v>
      </c>
    </row>
    <row r="578" spans="1:5">
      <c r="A578" t="s">
        <v>1895</v>
      </c>
      <c r="B578" t="s">
        <v>1896</v>
      </c>
      <c r="C578" t="s">
        <v>1791</v>
      </c>
      <c r="D578" t="s">
        <v>1897</v>
      </c>
      <c r="E578" t="s">
        <v>1898</v>
      </c>
    </row>
    <row r="579" spans="1:5">
      <c r="A579" t="s">
        <v>1899</v>
      </c>
      <c r="B579" t="s">
        <v>1900</v>
      </c>
      <c r="C579" t="s">
        <v>1647</v>
      </c>
      <c r="D579" t="s">
        <v>1901</v>
      </c>
      <c r="E579" t="s">
        <v>1902</v>
      </c>
    </row>
    <row r="580" spans="1:5">
      <c r="A580" t="s">
        <v>1903</v>
      </c>
      <c r="B580" t="s">
        <v>1904</v>
      </c>
      <c r="C580" t="s">
        <v>1814</v>
      </c>
      <c r="D580" t="s">
        <v>938</v>
      </c>
    </row>
    <row r="581" spans="1:5">
      <c r="A581" t="s">
        <v>1905</v>
      </c>
      <c r="B581" t="s">
        <v>1776</v>
      </c>
      <c r="C581" t="s">
        <v>1906</v>
      </c>
    </row>
    <row r="582" spans="1:5">
      <c r="A582" t="s">
        <v>1907</v>
      </c>
    </row>
    <row r="583" spans="1:5">
      <c r="A583" t="s">
        <v>1779</v>
      </c>
      <c r="B583" t="s">
        <v>1908</v>
      </c>
      <c r="C583" t="s">
        <v>1753</v>
      </c>
      <c r="D583" t="s">
        <v>1909</v>
      </c>
      <c r="E583" t="s">
        <v>1910</v>
      </c>
    </row>
    <row r="584" spans="1:5">
      <c r="A584" t="s">
        <v>1710</v>
      </c>
      <c r="B584" t="s">
        <v>1911</v>
      </c>
      <c r="C584" t="s">
        <v>1753</v>
      </c>
      <c r="D584" t="s">
        <v>1912</v>
      </c>
      <c r="E584" t="s">
        <v>1913</v>
      </c>
    </row>
    <row r="585" spans="1:5">
      <c r="A585" t="s">
        <v>1914</v>
      </c>
      <c r="B585" t="s">
        <v>1915</v>
      </c>
      <c r="C585" t="s">
        <v>1814</v>
      </c>
      <c r="D585" t="s">
        <v>938</v>
      </c>
    </row>
    <row r="586" spans="1:5">
      <c r="A586" t="s">
        <v>1916</v>
      </c>
      <c r="B586" t="s">
        <v>1776</v>
      </c>
      <c r="C586" t="s">
        <v>1917</v>
      </c>
    </row>
    <row r="587" spans="1:5">
      <c r="A587" t="s">
        <v>1918</v>
      </c>
    </row>
    <row r="588" spans="1:5">
      <c r="A588" t="s">
        <v>1779</v>
      </c>
      <c r="B588" t="s">
        <v>1919</v>
      </c>
      <c r="C588" t="s">
        <v>1753</v>
      </c>
      <c r="D588" t="s">
        <v>1920</v>
      </c>
      <c r="E588" t="s">
        <v>1921</v>
      </c>
    </row>
    <row r="589" spans="1:5">
      <c r="A589" t="s">
        <v>1922</v>
      </c>
      <c r="B589" t="s">
        <v>1923</v>
      </c>
      <c r="C589" t="s">
        <v>1753</v>
      </c>
      <c r="D589" t="s">
        <v>1924</v>
      </c>
      <c r="E589" t="s">
        <v>1925</v>
      </c>
    </row>
    <row r="590" spans="1:5">
      <c r="A590" t="s">
        <v>1926</v>
      </c>
      <c r="B590" t="s">
        <v>1927</v>
      </c>
      <c r="C590" t="s">
        <v>1928</v>
      </c>
      <c r="D590" t="s">
        <v>1929</v>
      </c>
      <c r="E590" t="s">
        <v>1930</v>
      </c>
    </row>
    <row r="591" spans="1:5">
      <c r="A591" t="s">
        <v>1914</v>
      </c>
      <c r="B591" t="s">
        <v>1931</v>
      </c>
      <c r="C591" t="s">
        <v>1814</v>
      </c>
      <c r="D591" t="s">
        <v>938</v>
      </c>
    </row>
    <row r="592" spans="1:5">
      <c r="A592" t="s">
        <v>1932</v>
      </c>
      <c r="B592" t="s">
        <v>1776</v>
      </c>
      <c r="C592" t="s">
        <v>1933</v>
      </c>
    </row>
    <row r="593" spans="1:6">
      <c r="A593" t="s">
        <v>1934</v>
      </c>
    </row>
    <row r="594" spans="1:6">
      <c r="A594" t="s">
        <v>1935</v>
      </c>
      <c r="B594" t="s">
        <v>1936</v>
      </c>
      <c r="C594" t="s">
        <v>1753</v>
      </c>
      <c r="D594" t="s">
        <v>1937</v>
      </c>
      <c r="E594" t="s">
        <v>1938</v>
      </c>
    </row>
    <row r="595" spans="1:6">
      <c r="A595" t="s">
        <v>1768</v>
      </c>
      <c r="B595" t="s">
        <v>1939</v>
      </c>
      <c r="C595" t="s">
        <v>1753</v>
      </c>
      <c r="D595" t="s">
        <v>1940</v>
      </c>
      <c r="E595" t="s">
        <v>1941</v>
      </c>
    </row>
    <row r="596" spans="1:6">
      <c r="A596" t="s">
        <v>1942</v>
      </c>
      <c r="B596" t="s">
        <v>1943</v>
      </c>
      <c r="C596" t="s">
        <v>1753</v>
      </c>
      <c r="D596" t="s">
        <v>1944</v>
      </c>
      <c r="E596" t="s">
        <v>1945</v>
      </c>
    </row>
    <row r="597" spans="1:6">
      <c r="A597" t="s">
        <v>1914</v>
      </c>
      <c r="B597" t="s">
        <v>1946</v>
      </c>
      <c r="C597" t="s">
        <v>1814</v>
      </c>
      <c r="D597" t="s">
        <v>938</v>
      </c>
    </row>
    <row r="598" spans="1:6">
      <c r="A598" t="s">
        <v>1947</v>
      </c>
      <c r="B598" t="s">
        <v>1776</v>
      </c>
      <c r="C598" t="s">
        <v>1948</v>
      </c>
    </row>
    <row r="599" spans="1:6">
      <c r="A599" t="s">
        <v>1949</v>
      </c>
    </row>
    <row r="600" spans="1:6">
      <c r="A600" t="s">
        <v>1950</v>
      </c>
      <c r="B600" t="s">
        <v>1951</v>
      </c>
      <c r="C600" t="s">
        <v>770</v>
      </c>
      <c r="D600" t="s">
        <v>771</v>
      </c>
      <c r="E600" t="s">
        <v>1952</v>
      </c>
      <c r="F600" t="s">
        <v>1953</v>
      </c>
    </row>
    <row r="601" spans="1:6">
      <c r="A601" t="s">
        <v>1954</v>
      </c>
      <c r="B601" t="s">
        <v>1955</v>
      </c>
      <c r="C601" t="s">
        <v>770</v>
      </c>
      <c r="D601" t="s">
        <v>1956</v>
      </c>
      <c r="E601" t="s">
        <v>1957</v>
      </c>
      <c r="F601" t="s">
        <v>1958</v>
      </c>
    </row>
    <row r="602" spans="1:6">
      <c r="A602" t="s">
        <v>1959</v>
      </c>
      <c r="B602" t="s">
        <v>1960</v>
      </c>
      <c r="C602" t="s">
        <v>1961</v>
      </c>
      <c r="D602" t="s">
        <v>1962</v>
      </c>
      <c r="E602" t="s">
        <v>1963</v>
      </c>
      <c r="F602" t="s">
        <v>1964</v>
      </c>
    </row>
    <row r="603" spans="1:6">
      <c r="A603" t="s">
        <v>1965</v>
      </c>
      <c r="B603" t="s">
        <v>1966</v>
      </c>
      <c r="C603" t="s">
        <v>770</v>
      </c>
      <c r="D603" t="s">
        <v>771</v>
      </c>
      <c r="E603" t="s">
        <v>1967</v>
      </c>
      <c r="F603" t="s">
        <v>1968</v>
      </c>
    </row>
    <row r="604" spans="1:6">
      <c r="A604" t="s">
        <v>1969</v>
      </c>
      <c r="B604" t="s">
        <v>1970</v>
      </c>
      <c r="C604" t="s">
        <v>770</v>
      </c>
      <c r="D604" t="s">
        <v>1971</v>
      </c>
      <c r="E604" t="s">
        <v>1972</v>
      </c>
      <c r="F604" t="s">
        <v>1973</v>
      </c>
    </row>
    <row r="605" spans="1:6">
      <c r="A605" t="s">
        <v>1974</v>
      </c>
      <c r="B605" t="s">
        <v>1975</v>
      </c>
      <c r="C605" t="s">
        <v>1976</v>
      </c>
      <c r="D605" t="s">
        <v>1977</v>
      </c>
      <c r="E605" t="s">
        <v>1978</v>
      </c>
      <c r="F605" t="s">
        <v>1979</v>
      </c>
    </row>
    <row r="606" spans="1:6">
      <c r="A606" t="s">
        <v>1980</v>
      </c>
    </row>
    <row r="607" spans="1:6">
      <c r="A607" t="s">
        <v>1779</v>
      </c>
      <c r="B607" t="s">
        <v>1981</v>
      </c>
      <c r="C607" t="s">
        <v>1753</v>
      </c>
      <c r="D607" t="s">
        <v>1982</v>
      </c>
      <c r="E607" t="s">
        <v>1983</v>
      </c>
    </row>
    <row r="608" spans="1:6">
      <c r="A608" t="s">
        <v>1710</v>
      </c>
      <c r="B608" t="s">
        <v>1984</v>
      </c>
      <c r="C608" t="s">
        <v>1753</v>
      </c>
      <c r="D608" t="s">
        <v>1985</v>
      </c>
      <c r="E608" t="s">
        <v>1986</v>
      </c>
    </row>
    <row r="609" spans="1:6">
      <c r="A609" t="s">
        <v>1987</v>
      </c>
      <c r="B609" t="s">
        <v>1988</v>
      </c>
      <c r="C609" t="s">
        <v>1989</v>
      </c>
      <c r="D609" t="s">
        <v>1990</v>
      </c>
      <c r="E609" t="s">
        <v>1991</v>
      </c>
    </row>
    <row r="610" spans="1:6">
      <c r="A610" t="s">
        <v>1914</v>
      </c>
      <c r="B610" t="s">
        <v>1992</v>
      </c>
      <c r="C610" t="s">
        <v>1814</v>
      </c>
      <c r="D610" t="s">
        <v>938</v>
      </c>
    </row>
    <row r="611" spans="1:6">
      <c r="A611" t="s">
        <v>1993</v>
      </c>
      <c r="B611" t="s">
        <v>1776</v>
      </c>
      <c r="C611" t="s">
        <v>1994</v>
      </c>
    </row>
    <row r="612" spans="1:6">
      <c r="A612" t="s">
        <v>1995</v>
      </c>
    </row>
    <row r="613" spans="1:6">
      <c r="A613" t="s">
        <v>1779</v>
      </c>
      <c r="B613" t="s">
        <v>1996</v>
      </c>
      <c r="C613" t="s">
        <v>1753</v>
      </c>
      <c r="D613" t="s">
        <v>1997</v>
      </c>
      <c r="E613" t="s">
        <v>1998</v>
      </c>
    </row>
    <row r="614" spans="1:6">
      <c r="A614" t="s">
        <v>1710</v>
      </c>
      <c r="B614" t="s">
        <v>1999</v>
      </c>
      <c r="C614" t="s">
        <v>1753</v>
      </c>
      <c r="D614" t="s">
        <v>2000</v>
      </c>
      <c r="E614" t="s">
        <v>2001</v>
      </c>
    </row>
    <row r="615" spans="1:6">
      <c r="A615" t="s">
        <v>1914</v>
      </c>
      <c r="B615" t="s">
        <v>2002</v>
      </c>
      <c r="C615" t="s">
        <v>1814</v>
      </c>
      <c r="D615" t="s">
        <v>938</v>
      </c>
    </row>
    <row r="616" spans="1:6">
      <c r="A616" t="s">
        <v>2003</v>
      </c>
      <c r="B616" t="s">
        <v>1776</v>
      </c>
      <c r="C616" t="s">
        <v>2004</v>
      </c>
    </row>
    <row r="617" spans="1:6" ht="27.4" customHeight="1">
      <c r="A617" s="1" t="s">
        <v>2005</v>
      </c>
      <c r="B617" s="1"/>
      <c r="C617" s="1"/>
      <c r="D617" s="1"/>
      <c r="E617" s="1"/>
      <c r="F617" s="1"/>
    </row>
    <row r="618" spans="1:6" ht="41.1" customHeight="1">
      <c r="A618" s="1" t="s">
        <v>2006</v>
      </c>
      <c r="B618" s="1" t="s">
        <v>1631</v>
      </c>
      <c r="C618" s="1" t="s">
        <v>2007</v>
      </c>
      <c r="D618" s="1" t="s">
        <v>2008</v>
      </c>
      <c r="E618" s="1" t="s">
        <v>1631</v>
      </c>
      <c r="F618" s="1" t="s">
        <v>2009</v>
      </c>
    </row>
    <row r="619" spans="1:6" ht="41.1" customHeight="1">
      <c r="A619" s="1" t="s">
        <v>2010</v>
      </c>
      <c r="B619" s="1" t="s">
        <v>1631</v>
      </c>
      <c r="C619" s="1" t="s">
        <v>2011</v>
      </c>
      <c r="D619" s="1" t="s">
        <v>2012</v>
      </c>
      <c r="E619" s="1" t="s">
        <v>1631</v>
      </c>
      <c r="F619" s="1" t="s">
        <v>2013</v>
      </c>
    </row>
    <row r="620" spans="1:6" ht="54.75" customHeight="1">
      <c r="A620" s="1" t="s">
        <v>2014</v>
      </c>
      <c r="B620" s="1" t="s">
        <v>1631</v>
      </c>
      <c r="C620" s="1" t="s">
        <v>2015</v>
      </c>
      <c r="D620" s="1" t="s">
        <v>2016</v>
      </c>
      <c r="E620" s="1" t="s">
        <v>1631</v>
      </c>
      <c r="F620" s="1" t="s">
        <v>2017</v>
      </c>
    </row>
    <row r="621" spans="1:6" ht="41.1" customHeight="1">
      <c r="A621" s="1" t="s">
        <v>2018</v>
      </c>
      <c r="B621" s="1" t="s">
        <v>1631</v>
      </c>
      <c r="C621" s="1" t="s">
        <v>2019</v>
      </c>
      <c r="D621" s="1" t="s">
        <v>2020</v>
      </c>
      <c r="E621" s="1" t="s">
        <v>1631</v>
      </c>
      <c r="F621" s="1" t="s">
        <v>2021</v>
      </c>
    </row>
    <row r="622" spans="1:6" ht="27.4" customHeight="1">
      <c r="A622" s="1" t="s">
        <v>2022</v>
      </c>
      <c r="B622" s="1" t="s">
        <v>1631</v>
      </c>
      <c r="C622" s="1" t="s">
        <v>2023</v>
      </c>
      <c r="D622" s="1" t="s">
        <v>2024</v>
      </c>
      <c r="E622" s="1" t="s">
        <v>1631</v>
      </c>
      <c r="F622" s="1" t="s">
        <v>2025</v>
      </c>
    </row>
    <row r="623" spans="1:6" ht="68.45" customHeight="1">
      <c r="A623" s="1" t="s">
        <v>2026</v>
      </c>
      <c r="B623" s="1" t="s">
        <v>1631</v>
      </c>
      <c r="C623" s="1" t="s">
        <v>2027</v>
      </c>
      <c r="D623" s="1" t="s">
        <v>2028</v>
      </c>
      <c r="E623" s="1" t="s">
        <v>1631</v>
      </c>
      <c r="F623" s="1" t="s">
        <v>2029</v>
      </c>
    </row>
    <row r="624" spans="1:6" ht="54.75" customHeight="1">
      <c r="A624" s="1" t="s">
        <v>2030</v>
      </c>
      <c r="B624" s="1" t="s">
        <v>1631</v>
      </c>
      <c r="C624" s="1" t="s">
        <v>2031</v>
      </c>
      <c r="D624" s="1" t="s">
        <v>2032</v>
      </c>
      <c r="E624" s="1" t="s">
        <v>1631</v>
      </c>
      <c r="F624" s="1" t="s">
        <v>2033</v>
      </c>
    </row>
    <row r="625" spans="1:6" ht="27.4" customHeight="1">
      <c r="A625" s="1" t="s">
        <v>2034</v>
      </c>
      <c r="B625" s="1" t="s">
        <v>2035</v>
      </c>
      <c r="C625" s="1" t="s">
        <v>2036</v>
      </c>
      <c r="D625" s="1"/>
      <c r="E625" s="1"/>
      <c r="F625" s="1"/>
    </row>
    <row r="626" spans="1:6">
      <c r="A626" s="1" t="s">
        <v>2037</v>
      </c>
      <c r="B626" s="1"/>
      <c r="C626" s="1"/>
      <c r="D626" s="1"/>
      <c r="E626" s="1"/>
      <c r="F626" s="1"/>
    </row>
    <row r="627" spans="1:6" ht="41.1" customHeight="1">
      <c r="A627" s="1" t="s">
        <v>1574</v>
      </c>
      <c r="B627" s="1" t="s">
        <v>1774</v>
      </c>
      <c r="C627" s="1" t="s">
        <v>2038</v>
      </c>
      <c r="D627" s="1" t="s">
        <v>1774</v>
      </c>
      <c r="E627" s="1" t="s">
        <v>2035</v>
      </c>
      <c r="F627" s="1"/>
    </row>
    <row r="628" spans="1:6" ht="27.4" customHeight="1">
      <c r="A628" s="1" t="s">
        <v>2039</v>
      </c>
      <c r="B628" s="1" t="s">
        <v>1631</v>
      </c>
      <c r="C628" s="1" t="s">
        <v>2040</v>
      </c>
      <c r="D628" s="1" t="s">
        <v>1631</v>
      </c>
      <c r="E628" s="1" t="s">
        <v>2041</v>
      </c>
      <c r="F628" s="1"/>
    </row>
    <row r="629" spans="1:6" ht="41.1" customHeight="1">
      <c r="A629" s="1" t="s">
        <v>2042</v>
      </c>
      <c r="B629" s="1" t="s">
        <v>1631</v>
      </c>
      <c r="C629" s="1" t="s">
        <v>2043</v>
      </c>
      <c r="D629" s="1" t="s">
        <v>1631</v>
      </c>
      <c r="E629" s="1" t="s">
        <v>2044</v>
      </c>
      <c r="F629" s="1"/>
    </row>
    <row r="630" spans="1:6" ht="41.1" customHeight="1">
      <c r="A630" s="1" t="s">
        <v>2045</v>
      </c>
      <c r="B630" s="1" t="s">
        <v>2035</v>
      </c>
      <c r="C630" s="1" t="s">
        <v>2046</v>
      </c>
      <c r="D630" s="1"/>
      <c r="E630" s="1"/>
      <c r="F630" s="1"/>
    </row>
    <row r="631" spans="1:6">
      <c r="A631" t="s">
        <v>2047</v>
      </c>
    </row>
    <row r="632" spans="1:6">
      <c r="A632" t="s">
        <v>1779</v>
      </c>
      <c r="B632" t="s">
        <v>2048</v>
      </c>
      <c r="C632" t="s">
        <v>1753</v>
      </c>
      <c r="D632" t="s">
        <v>2049</v>
      </c>
      <c r="E632" t="s">
        <v>2050</v>
      </c>
    </row>
    <row r="633" spans="1:6">
      <c r="A633" t="s">
        <v>1710</v>
      </c>
      <c r="B633" t="s">
        <v>2051</v>
      </c>
      <c r="C633" t="s">
        <v>1753</v>
      </c>
      <c r="D633" t="s">
        <v>2052</v>
      </c>
      <c r="E633" t="s">
        <v>2053</v>
      </c>
    </row>
    <row r="634" spans="1:6">
      <c r="A634" t="s">
        <v>2054</v>
      </c>
      <c r="B634" t="s">
        <v>2055</v>
      </c>
      <c r="C634" t="s">
        <v>1631</v>
      </c>
      <c r="D634" t="s">
        <v>2056</v>
      </c>
      <c r="E634" t="s">
        <v>2057</v>
      </c>
    </row>
    <row r="635" spans="1:6">
      <c r="A635" t="s">
        <v>2058</v>
      </c>
      <c r="B635" t="s">
        <v>2035</v>
      </c>
      <c r="C635" t="s">
        <v>2059</v>
      </c>
    </row>
    <row r="636" spans="1:6">
      <c r="A636" t="s">
        <v>2060</v>
      </c>
    </row>
    <row r="637" spans="1:6">
      <c r="A637" t="s">
        <v>1779</v>
      </c>
      <c r="B637" t="s">
        <v>2061</v>
      </c>
      <c r="C637" t="s">
        <v>1753</v>
      </c>
      <c r="D637" t="s">
        <v>2062</v>
      </c>
      <c r="E637" t="s">
        <v>2063</v>
      </c>
    </row>
    <row r="638" spans="1:6">
      <c r="A638" t="s">
        <v>1710</v>
      </c>
      <c r="B638" t="s">
        <v>2064</v>
      </c>
      <c r="C638" t="s">
        <v>1753</v>
      </c>
      <c r="D638" t="s">
        <v>2065</v>
      </c>
      <c r="E638" t="s">
        <v>2066</v>
      </c>
    </row>
    <row r="639" spans="1:6">
      <c r="A639" t="s">
        <v>560</v>
      </c>
      <c r="B639" t="s">
        <v>2067</v>
      </c>
      <c r="C639" t="s">
        <v>1647</v>
      </c>
      <c r="D639" t="s">
        <v>2068</v>
      </c>
      <c r="E639" t="s">
        <v>2069</v>
      </c>
    </row>
    <row r="640" spans="1:6">
      <c r="A640" t="s">
        <v>1914</v>
      </c>
      <c r="B640" t="s">
        <v>2070</v>
      </c>
      <c r="C640" t="s">
        <v>1814</v>
      </c>
      <c r="D640" t="s">
        <v>938</v>
      </c>
    </row>
    <row r="641" spans="1:5">
      <c r="A641" t="s">
        <v>2071</v>
      </c>
      <c r="B641" t="s">
        <v>2035</v>
      </c>
      <c r="C641" t="s">
        <v>2072</v>
      </c>
    </row>
    <row r="642" spans="1:5">
      <c r="A642" t="s">
        <v>2073</v>
      </c>
    </row>
    <row r="643" spans="1:5">
      <c r="A643" t="s">
        <v>1574</v>
      </c>
      <c r="B643" t="s">
        <v>1774</v>
      </c>
      <c r="C643" t="s">
        <v>2074</v>
      </c>
      <c r="D643" t="s">
        <v>1631</v>
      </c>
      <c r="E643" t="s">
        <v>2035</v>
      </c>
    </row>
    <row r="644" spans="1:5">
      <c r="A644" t="s">
        <v>2075</v>
      </c>
      <c r="B644" t="s">
        <v>2076</v>
      </c>
      <c r="C644" t="s">
        <v>2077</v>
      </c>
      <c r="D644" t="s">
        <v>2078</v>
      </c>
    </row>
    <row r="645" spans="1:5">
      <c r="A645" t="s">
        <v>2071</v>
      </c>
      <c r="B645" t="s">
        <v>2035</v>
      </c>
      <c r="C645" t="s">
        <v>2079</v>
      </c>
    </row>
    <row r="646" spans="1:5">
      <c r="A646" t="s">
        <v>2080</v>
      </c>
    </row>
    <row r="647" spans="1:5">
      <c r="A647" t="s">
        <v>2081</v>
      </c>
      <c r="B647" t="s">
        <v>2082</v>
      </c>
      <c r="C647" t="s">
        <v>1791</v>
      </c>
      <c r="D647" t="s">
        <v>2083</v>
      </c>
      <c r="E647" t="s">
        <v>2084</v>
      </c>
    </row>
    <row r="648" spans="1:5">
      <c r="A648" t="s">
        <v>1146</v>
      </c>
      <c r="B648" t="s">
        <v>2085</v>
      </c>
      <c r="C648" t="s">
        <v>2077</v>
      </c>
      <c r="D648" t="s">
        <v>2086</v>
      </c>
      <c r="E648" t="s">
        <v>2087</v>
      </c>
    </row>
    <row r="649" spans="1:5">
      <c r="A649" t="s">
        <v>2088</v>
      </c>
      <c r="B649" t="s">
        <v>2035</v>
      </c>
      <c r="C649" t="s">
        <v>2089</v>
      </c>
    </row>
    <row r="650" spans="1:5">
      <c r="A650" t="s">
        <v>2090</v>
      </c>
    </row>
    <row r="651" spans="1:5">
      <c r="A651" t="s">
        <v>2091</v>
      </c>
      <c r="B651" t="s">
        <v>2092</v>
      </c>
      <c r="C651" t="s">
        <v>1791</v>
      </c>
      <c r="D651" t="s">
        <v>2093</v>
      </c>
      <c r="E651" t="s">
        <v>2094</v>
      </c>
    </row>
    <row r="652" spans="1:5">
      <c r="A652" t="s">
        <v>2095</v>
      </c>
      <c r="B652" t="s">
        <v>2096</v>
      </c>
      <c r="C652" t="s">
        <v>1791</v>
      </c>
      <c r="D652" t="s">
        <v>2097</v>
      </c>
      <c r="E652" t="s">
        <v>2098</v>
      </c>
    </row>
    <row r="653" spans="1:5">
      <c r="A653" t="s">
        <v>1400</v>
      </c>
      <c r="B653" t="s">
        <v>2099</v>
      </c>
      <c r="C653" t="s">
        <v>1753</v>
      </c>
      <c r="D653" t="s">
        <v>2100</v>
      </c>
      <c r="E653" t="s">
        <v>2101</v>
      </c>
    </row>
    <row r="654" spans="1:5">
      <c r="A654" t="s">
        <v>2102</v>
      </c>
      <c r="B654" t="s">
        <v>2035</v>
      </c>
      <c r="C654" t="s">
        <v>2103</v>
      </c>
    </row>
    <row r="655" spans="1:5">
      <c r="A655" t="s">
        <v>2104</v>
      </c>
      <c r="B655" t="s">
        <v>2035</v>
      </c>
      <c r="C655" t="s">
        <v>2105</v>
      </c>
      <c r="D655" t="s">
        <v>2106</v>
      </c>
      <c r="E655" t="s">
        <v>2107</v>
      </c>
    </row>
    <row r="656" spans="1:5">
      <c r="A656" t="s">
        <v>2108</v>
      </c>
      <c r="B656" t="s">
        <v>2035</v>
      </c>
      <c r="C656" t="s">
        <v>2109</v>
      </c>
      <c r="D656" t="s">
        <v>2110</v>
      </c>
      <c r="E656" t="s">
        <v>2111</v>
      </c>
    </row>
    <row r="657" spans="1:6" ht="41.1" customHeight="1">
      <c r="A657" s="73" t="s">
        <v>2112</v>
      </c>
      <c r="B657" s="73" t="s">
        <v>2113</v>
      </c>
      <c r="C657" s="73"/>
      <c r="D657" s="73"/>
      <c r="E657" s="73"/>
      <c r="F657" s="73"/>
    </row>
    <row r="658" spans="1:6" ht="41.1" customHeight="1">
      <c r="A658" s="73" t="s">
        <v>2114</v>
      </c>
      <c r="B658" s="73" t="s">
        <v>2115</v>
      </c>
      <c r="C658" s="73"/>
      <c r="D658" s="73"/>
      <c r="E658" s="73"/>
      <c r="F658" s="73"/>
    </row>
    <row r="659" spans="1:6" ht="27.4" customHeight="1">
      <c r="A659" s="73" t="s">
        <v>2116</v>
      </c>
      <c r="B659" s="73" t="s">
        <v>2117</v>
      </c>
      <c r="C659" s="73"/>
      <c r="D659" s="73"/>
      <c r="E659" s="73"/>
      <c r="F659" s="73"/>
    </row>
    <row r="660" spans="1:6" ht="41.1" customHeight="1">
      <c r="A660" s="73" t="s">
        <v>2118</v>
      </c>
      <c r="B660" s="73" t="s">
        <v>2119</v>
      </c>
      <c r="C660" s="73"/>
      <c r="D660" s="73"/>
      <c r="E660" s="73"/>
      <c r="F660" s="73"/>
    </row>
    <row r="661" spans="1:6" ht="41.1" customHeight="1">
      <c r="A661" s="1" t="s">
        <v>2120</v>
      </c>
      <c r="B661" s="1" t="s">
        <v>2121</v>
      </c>
      <c r="C661" s="1"/>
      <c r="D661" s="1"/>
      <c r="E661" s="1"/>
      <c r="F661" s="1"/>
    </row>
    <row r="662" spans="1:6" ht="27.4" customHeight="1">
      <c r="A662" s="1" t="s">
        <v>2122</v>
      </c>
      <c r="B662" s="1" t="s">
        <v>2123</v>
      </c>
      <c r="C662" s="1"/>
      <c r="D662" s="1"/>
      <c r="E662" s="1"/>
      <c r="F662" s="1"/>
    </row>
    <row r="663" spans="1:6" ht="41.1" customHeight="1">
      <c r="A663" s="1" t="s">
        <v>2124</v>
      </c>
      <c r="B663" s="1" t="s">
        <v>2125</v>
      </c>
      <c r="C663" s="1"/>
      <c r="D663" s="1"/>
      <c r="E663" s="1"/>
      <c r="F663" s="1"/>
    </row>
    <row r="664" spans="1:6" ht="41.1" customHeight="1">
      <c r="A664" s="1" t="s">
        <v>2126</v>
      </c>
      <c r="B664" s="1" t="s">
        <v>2127</v>
      </c>
      <c r="C664" s="1"/>
      <c r="D664" s="1"/>
      <c r="E664" s="1"/>
      <c r="F664" s="1"/>
    </row>
    <row r="665" spans="1:6" ht="41.1" customHeight="1">
      <c r="A665" s="1" t="s">
        <v>2128</v>
      </c>
      <c r="B665" s="1" t="s">
        <v>2129</v>
      </c>
      <c r="C665" s="1"/>
      <c r="D665" s="1"/>
      <c r="E665" s="1"/>
      <c r="F665" s="1"/>
    </row>
    <row r="666" spans="1:6" ht="41.1" customHeight="1">
      <c r="A666" s="1" t="s">
        <v>2130</v>
      </c>
      <c r="B666" s="1" t="s">
        <v>2131</v>
      </c>
      <c r="C666" s="1"/>
      <c r="D666" s="1"/>
      <c r="E666" s="1"/>
      <c r="F666" s="1"/>
    </row>
    <row r="667" spans="1:6" ht="41.1" customHeight="1">
      <c r="A667" s="1" t="s">
        <v>2132</v>
      </c>
      <c r="B667" s="1" t="s">
        <v>2133</v>
      </c>
      <c r="C667" s="1"/>
      <c r="D667" s="1"/>
      <c r="E667" s="1"/>
      <c r="F667" s="1"/>
    </row>
    <row r="668" spans="1:6" ht="41.1" customHeight="1">
      <c r="A668" s="1" t="s">
        <v>2134</v>
      </c>
      <c r="B668" s="1" t="s">
        <v>2135</v>
      </c>
      <c r="C668" s="1"/>
      <c r="D668" s="1"/>
      <c r="E668" s="1"/>
      <c r="F668" s="1"/>
    </row>
    <row r="669" spans="1:6" ht="54.75" customHeight="1">
      <c r="A669" s="1" t="s">
        <v>2136</v>
      </c>
      <c r="B669" s="1" t="s">
        <v>2137</v>
      </c>
      <c r="C669" s="1"/>
      <c r="D669" s="1"/>
      <c r="E669" s="1"/>
      <c r="F669" s="1"/>
    </row>
  </sheetData>
  <sheetProtection password="FE3F" sheet="1" objects="1" scenarios="1" formatRows="0"/>
  <mergeCells count="1">
    <mergeCell ref="A1:F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U163"/>
  <sheetViews>
    <sheetView workbookViewId="0"/>
  </sheetViews>
  <sheetFormatPr defaultRowHeight="14.25"/>
  <cols>
    <col min="1" max="1" width="36" customWidth="1"/>
    <col min="2" max="2" width="22" customWidth="1"/>
    <col min="3" max="3" width="24" customWidth="1"/>
    <col min="5" max="5" width="28" customWidth="1"/>
    <col min="6" max="6" width="18" customWidth="1"/>
  </cols>
  <sheetData>
    <row r="1" spans="1:99" ht="15">
      <c r="A1" s="4" t="s">
        <v>2138</v>
      </c>
      <c r="B1" s="4" t="s">
        <v>2139</v>
      </c>
      <c r="C1" s="4" t="s">
        <v>2140</v>
      </c>
      <c r="E1" s="3" t="s">
        <v>2141</v>
      </c>
      <c r="F1" s="3" t="s">
        <v>2139</v>
      </c>
      <c r="H1" s="7" t="s">
        <v>2142</v>
      </c>
      <c r="I1" s="7" t="s">
        <v>2139</v>
      </c>
      <c r="K1" s="8" t="s">
        <v>2143</v>
      </c>
      <c r="L1" s="8" t="s">
        <v>2139</v>
      </c>
      <c r="P1" t="s">
        <v>2144</v>
      </c>
      <c r="Q1" t="s">
        <v>2145</v>
      </c>
      <c r="R1" t="s">
        <v>21</v>
      </c>
      <c r="S1" t="s">
        <v>2146</v>
      </c>
      <c r="T1" t="s">
        <v>927</v>
      </c>
      <c r="U1" t="s">
        <v>2147</v>
      </c>
      <c r="V1" t="s">
        <v>2148</v>
      </c>
      <c r="W1" t="s">
        <v>2149</v>
      </c>
      <c r="X1" t="s">
        <v>2150</v>
      </c>
      <c r="Y1" t="s">
        <v>2151</v>
      </c>
      <c r="Z1" t="s">
        <v>258</v>
      </c>
      <c r="AA1" t="s">
        <v>2152</v>
      </c>
      <c r="AB1" t="s">
        <v>2153</v>
      </c>
      <c r="AC1" t="s">
        <v>2154</v>
      </c>
      <c r="AD1" t="s">
        <v>2155</v>
      </c>
      <c r="AE1" t="s">
        <v>2156</v>
      </c>
      <c r="AF1" t="s">
        <v>2157</v>
      </c>
      <c r="AG1" t="s">
        <v>2158</v>
      </c>
      <c r="AH1" t="s">
        <v>2159</v>
      </c>
      <c r="AI1" t="s">
        <v>2160</v>
      </c>
      <c r="AJ1" t="s">
        <v>2161</v>
      </c>
      <c r="AK1" t="s">
        <v>2162</v>
      </c>
      <c r="AL1" t="s">
        <v>2163</v>
      </c>
      <c r="AM1" t="s">
        <v>2164</v>
      </c>
      <c r="AN1" t="s">
        <v>2165</v>
      </c>
      <c r="AO1" t="s">
        <v>2166</v>
      </c>
      <c r="AU1" t="s">
        <v>2167</v>
      </c>
      <c r="AV1" t="s">
        <v>2168</v>
      </c>
      <c r="AW1" t="s">
        <v>2169</v>
      </c>
      <c r="AX1" t="s">
        <v>2170</v>
      </c>
      <c r="AY1" t="s">
        <v>2171</v>
      </c>
      <c r="AZ1" t="s">
        <v>2172</v>
      </c>
      <c r="BA1" t="s">
        <v>2173</v>
      </c>
      <c r="BB1" t="s">
        <v>2145</v>
      </c>
      <c r="BC1" t="s">
        <v>21</v>
      </c>
      <c r="BD1" t="s">
        <v>2146</v>
      </c>
      <c r="BE1" t="s">
        <v>927</v>
      </c>
      <c r="BF1" t="s">
        <v>2147</v>
      </c>
      <c r="BG1" t="s">
        <v>2148</v>
      </c>
      <c r="BH1" t="s">
        <v>2149</v>
      </c>
      <c r="BI1" t="s">
        <v>2150</v>
      </c>
      <c r="BJ1" t="s">
        <v>2151</v>
      </c>
      <c r="BK1" t="s">
        <v>258</v>
      </c>
      <c r="BL1" t="s">
        <v>2152</v>
      </c>
      <c r="BM1" t="s">
        <v>2153</v>
      </c>
    </row>
    <row r="2" spans="1:99">
      <c r="A2" s="1" t="s">
        <v>18</v>
      </c>
      <c r="B2" s="108">
        <f>Dashboard!B7</f>
        <v>1985</v>
      </c>
      <c r="C2" s="1" t="s">
        <v>2174</v>
      </c>
      <c r="E2" t="s">
        <v>2175</v>
      </c>
      <c r="F2" s="109">
        <f>IFERROR(INDEX('Material Assumptions'!$C$2:$C$7,MATCH($B$3,'Material Assumptions'!$A$2:$A$7,0)),70)</f>
        <v>70</v>
      </c>
      <c r="H2" t="s">
        <v>2176</v>
      </c>
      <c r="I2" s="109" t="str">
        <f>IF(OR($B$3="Ductile iron",$B$3="Grey cast iron",$B$3="Carbon steel",$B$3="Copper",$B$3="Galvanized iron",$B$3="Unknown metallic"),"Metallic",IF(OR($B$3="PVC / uPVC",$B$3="HDPE / MDPE"),"Plastic",IF($B$3="GRP / Fiberglass","GRP",IF($B$3="Asbestos cement","AC",IF($B$3="PCCP","PCCP","Concrete")))))</f>
        <v>Metallic</v>
      </c>
      <c r="K2" t="s">
        <v>2177</v>
      </c>
      <c r="L2" s="109">
        <f>IFERROR(INDEX('Assumptions &amp; Method'!$F$4:$F$9,MATCH($B$3,'Assumptions &amp; Method'!$E$4:$E$9,0)),75)</f>
        <v>75</v>
      </c>
      <c r="P2" t="s">
        <v>2178</v>
      </c>
      <c r="Q2" t="s">
        <v>2179</v>
      </c>
      <c r="R2" t="s">
        <v>2180</v>
      </c>
      <c r="S2" t="s">
        <v>2181</v>
      </c>
      <c r="T2" t="s">
        <v>2181</v>
      </c>
      <c r="U2" t="s">
        <v>2181</v>
      </c>
      <c r="V2" t="s">
        <v>2181</v>
      </c>
      <c r="W2" t="s">
        <v>2181</v>
      </c>
      <c r="X2" t="s">
        <v>2181</v>
      </c>
      <c r="Y2" t="s">
        <v>2181</v>
      </c>
      <c r="Z2" t="s">
        <v>2181</v>
      </c>
      <c r="AA2" t="s">
        <v>2181</v>
      </c>
      <c r="AB2" t="s">
        <v>2181</v>
      </c>
      <c r="AC2" t="s">
        <v>2145</v>
      </c>
      <c r="AD2" t="s">
        <v>2145</v>
      </c>
      <c r="AE2" t="s">
        <v>2145</v>
      </c>
      <c r="AF2" s="109">
        <f>IFERROR(IF($AO2="","",IF(Dashboard!$B$2="Metric",$AO2,IF($AO2&lt;25.4,"~"&amp;ROUND($AO2/25.4,1)&amp;" in ("&amp;$AO2&amp;" mm)","~"&amp;ROUND($AO2/25.4,0)&amp;" in ("&amp;$AO2&amp;" mm)"))),"")</f>
        <v>80</v>
      </c>
      <c r="AG2">
        <v>80</v>
      </c>
      <c r="AH2">
        <v>80</v>
      </c>
      <c r="AI2">
        <v>55</v>
      </c>
      <c r="AJ2">
        <v>26</v>
      </c>
      <c r="AK2">
        <v>25</v>
      </c>
      <c r="AL2">
        <v>25</v>
      </c>
      <c r="AM2">
        <v>80</v>
      </c>
      <c r="AN2">
        <v>80</v>
      </c>
      <c r="AO2" s="109">
        <f>IFERROR(IF(Dashboard!$B$6="Measured Acoustic Velocity",IF(Dashboard!$B$8="Ductile iron",INDEX($AM$2:$AM$40,ROW()-1),IF(Dashboard!$B$8="Grey cast iron",INDEX($AN$2:$AN$40,ROW()-1),IF(Dashboard!$B$8="Carbon steel",INDEX($BD$2:$BD$40,ROW()-1),""))),INDEX($BB$2:$BM$40,ROW()-1,MATCH(Dashboard!$B$8,$BB$1:$BM$1,0))),"")</f>
        <v>80</v>
      </c>
      <c r="AU2" s="109" t="str">
        <f>IFERROR(INDEX($Q$2:$AB$7,1,MATCH(Dashboard!$B$8,$Q$1:$AB$1,0)),"")</f>
        <v>Class 1</v>
      </c>
      <c r="AV2">
        <v>100</v>
      </c>
      <c r="AW2">
        <v>25</v>
      </c>
      <c r="AX2">
        <v>25</v>
      </c>
      <c r="AY2">
        <v>100</v>
      </c>
      <c r="AZ2">
        <v>250</v>
      </c>
      <c r="BA2">
        <v>410</v>
      </c>
      <c r="BB2">
        <v>80</v>
      </c>
      <c r="BC2">
        <v>80</v>
      </c>
      <c r="BD2">
        <v>55</v>
      </c>
      <c r="BE2">
        <v>26</v>
      </c>
      <c r="BF2">
        <v>25</v>
      </c>
      <c r="BG2">
        <v>25</v>
      </c>
      <c r="BH2">
        <v>100</v>
      </c>
      <c r="BI2">
        <v>25</v>
      </c>
      <c r="BJ2">
        <v>25</v>
      </c>
      <c r="BK2">
        <v>100</v>
      </c>
      <c r="BL2">
        <v>250</v>
      </c>
      <c r="BM2">
        <v>410</v>
      </c>
    </row>
    <row r="3" spans="1:99">
      <c r="A3" s="1" t="s">
        <v>20</v>
      </c>
      <c r="B3" s="108" t="str">
        <f>Dashboard!B8</f>
        <v>Grey cast iron</v>
      </c>
      <c r="C3" s="1"/>
      <c r="E3" t="s">
        <v>2182</v>
      </c>
      <c r="F3" s="109">
        <f>IFERROR(INDEX('Material Assumptions'!$F$2:$F$7,MATCH($B$3,'Material Assumptions'!$A$2:$A$7,0)),0.12)</f>
        <v>0.03</v>
      </c>
      <c r="H3" t="s">
        <v>2183</v>
      </c>
      <c r="I3" s="109">
        <f>IF($B$3="PVC / uPVC",'Assumptions &amp; Method'!$B$23,IF($B$3="HDPE / MDPE",'Assumptions &amp; Method'!$B$24,IF($B$3="GRP / Fiberglass",'Assumptions &amp; Method'!$B$25,IF($B$3="Asbestos cement",'Assumptions &amp; Method'!$B$26,IF($B$3="Concrete",'Assumptions &amp; Method'!$B$27,IF($B$3="PCCP",'Assumptions &amp; Method'!$B$28,0))))))</f>
        <v>0</v>
      </c>
      <c r="K3" t="s">
        <v>2184</v>
      </c>
      <c r="L3" s="109">
        <f>IF($B$10="Low",'Assumptions &amp; Method'!$F$13,IF($B$10="Moderate",'Assumptions &amp; Method'!$F$14,IF($B$10="High",'Assumptions &amp; Method'!$F$15,IF($B$10="Severe",'Assumptions &amp; Method'!$F$16,IF($B$10="Unknown - Average",AVERAGE('Assumptions &amp; Method'!$F$13:$F$16),IF($B$10="Unknown - Worst Case",MAX('Assumptions &amp; Method'!$F$13:$F$16),AVERAGE('Assumptions &amp; Method'!$F$13:$F$16)))))))</f>
        <v>0.85</v>
      </c>
      <c r="P3" t="s">
        <v>2185</v>
      </c>
      <c r="Q3" t="s">
        <v>2186</v>
      </c>
      <c r="R3" t="s">
        <v>2187</v>
      </c>
      <c r="S3" t="s">
        <v>24</v>
      </c>
      <c r="T3" t="s">
        <v>24</v>
      </c>
      <c r="AC3" t="s">
        <v>21</v>
      </c>
      <c r="AD3" t="s">
        <v>21</v>
      </c>
      <c r="AE3" t="s">
        <v>21</v>
      </c>
      <c r="AF3" s="109">
        <f>IFERROR(IF($AO3="","",IF(Dashboard!$B$2="Metric",$AO3,IF($AO3&lt;25.4,"~"&amp;ROUND($AO3/25.4,1)&amp;" in ("&amp;$AO3&amp;" mm)","~"&amp;ROUND($AO3/25.4,0)&amp;" in ("&amp;$AO3&amp;" mm)"))),"")</f>
        <v>100</v>
      </c>
      <c r="AG3">
        <v>100</v>
      </c>
      <c r="AH3">
        <v>100</v>
      </c>
      <c r="AI3">
        <v>70</v>
      </c>
      <c r="AJ3">
        <v>32</v>
      </c>
      <c r="AK3">
        <v>32</v>
      </c>
      <c r="AL3">
        <v>32</v>
      </c>
      <c r="AM3">
        <v>100</v>
      </c>
      <c r="AN3">
        <v>100</v>
      </c>
      <c r="AO3" s="109">
        <f>IFERROR(IF(Dashboard!$B$6="Measured Acoustic Velocity",IF(Dashboard!$B$8="Ductile iron",INDEX($AM$2:$AM$40,ROW()-1),IF(Dashboard!$B$8="Grey cast iron",INDEX($AN$2:$AN$40,ROW()-1),IF(Dashboard!$B$8="Carbon steel",INDEX($BD$2:$BD$40,ROW()-1),""))),INDEX($BB$2:$BM$40,ROW()-1,MATCH(Dashboard!$B$8,$BB$1:$BM$1,0))),"")</f>
        <v>100</v>
      </c>
      <c r="AU3" s="109" t="str">
        <f>IFERROR(INDEX($Q$2:$AB$7,2,MATCH(Dashboard!$B$8,$Q$1:$AB$1,0)),"")</f>
        <v>Class 2</v>
      </c>
      <c r="AV3">
        <v>125</v>
      </c>
      <c r="AW3">
        <v>32</v>
      </c>
      <c r="AX3">
        <v>32</v>
      </c>
      <c r="AY3">
        <v>150</v>
      </c>
      <c r="AZ3">
        <v>300</v>
      </c>
      <c r="BA3">
        <v>450</v>
      </c>
      <c r="BB3">
        <v>100</v>
      </c>
      <c r="BC3">
        <v>100</v>
      </c>
      <c r="BD3">
        <v>70</v>
      </c>
      <c r="BE3">
        <v>32</v>
      </c>
      <c r="BF3">
        <v>32</v>
      </c>
      <c r="BG3">
        <v>32</v>
      </c>
      <c r="BH3">
        <v>125</v>
      </c>
      <c r="BI3">
        <v>32</v>
      </c>
      <c r="BJ3">
        <v>32</v>
      </c>
      <c r="BK3">
        <v>150</v>
      </c>
      <c r="BL3">
        <v>300</v>
      </c>
      <c r="BM3">
        <v>450</v>
      </c>
    </row>
    <row r="4" spans="1:99">
      <c r="A4" s="1" t="s">
        <v>2188</v>
      </c>
      <c r="B4" s="108" t="str">
        <f>Dashboard!B9</f>
        <v>Unknown - Average</v>
      </c>
      <c r="C4" s="1"/>
      <c r="E4" t="s">
        <v>2189</v>
      </c>
      <c r="F4" s="109">
        <f>IFERROR(INDEX('Material Assumptions'!$G$2:$G$7,MATCH($B$3,'Material Assumptions'!$A$2:$A$7,0)),0.05)</f>
        <v>0.05</v>
      </c>
      <c r="H4" t="s">
        <v>573</v>
      </c>
      <c r="I4" s="109">
        <f>IF($I$3&gt;0,$B$15/$I$3,0)</f>
        <v>0</v>
      </c>
      <c r="K4" t="s">
        <v>2190</v>
      </c>
      <c r="L4" s="109">
        <f>MAX(0.8,MIN(1.5,1+0.35*(($B$25/'Assumptions &amp; Method'!$F$19)-1)))</f>
        <v>0.80400000000000005</v>
      </c>
      <c r="P4" t="s">
        <v>2191</v>
      </c>
      <c r="Q4" t="s">
        <v>2192</v>
      </c>
      <c r="R4" t="s">
        <v>2193</v>
      </c>
      <c r="S4" t="s">
        <v>2194</v>
      </c>
      <c r="T4" t="s">
        <v>2194</v>
      </c>
      <c r="AC4" t="s">
        <v>2146</v>
      </c>
      <c r="AD4" t="s">
        <v>2146</v>
      </c>
      <c r="AE4" t="s">
        <v>2146</v>
      </c>
      <c r="AF4" s="109">
        <f>IFERROR(IF($AO4="","",IF(Dashboard!$B$2="Metric",$AO4,IF($AO4&lt;25.4,"~"&amp;ROUND($AO4/25.4,1)&amp;" in ("&amp;$AO4&amp;" mm)","~"&amp;ROUND($AO4/25.4,0)&amp;" in ("&amp;$AO4&amp;" mm)"))),"")</f>
        <v>150</v>
      </c>
      <c r="AG4">
        <v>150</v>
      </c>
      <c r="AH4">
        <v>150</v>
      </c>
      <c r="AI4">
        <v>80</v>
      </c>
      <c r="AJ4">
        <v>39</v>
      </c>
      <c r="AK4">
        <v>40</v>
      </c>
      <c r="AL4">
        <v>40</v>
      </c>
      <c r="AM4">
        <v>150</v>
      </c>
      <c r="AN4">
        <v>150</v>
      </c>
      <c r="AO4" s="109">
        <f>IFERROR(IF(Dashboard!$B$6="Measured Acoustic Velocity",IF(Dashboard!$B$8="Ductile iron",INDEX($AM$2:$AM$40,ROW()-1),IF(Dashboard!$B$8="Grey cast iron",INDEX($AN$2:$AN$40,ROW()-1),IF(Dashboard!$B$8="Carbon steel",INDEX($BD$2:$BD$40,ROW()-1),""))),INDEX($BB$2:$BM$40,ROW()-1,MATCH(Dashboard!$B$8,$BB$1:$BM$1,0))),"")</f>
        <v>150</v>
      </c>
      <c r="AU4" s="109" t="str">
        <f>IFERROR(INDEX($Q$2:$AB$7,3,MATCH(Dashboard!$B$8,$Q$1:$AB$1,0)),"")</f>
        <v>Class 3</v>
      </c>
      <c r="AV4">
        <v>150</v>
      </c>
      <c r="AW4">
        <v>40</v>
      </c>
      <c r="AX4">
        <v>40</v>
      </c>
      <c r="AY4">
        <v>200</v>
      </c>
      <c r="AZ4">
        <v>350</v>
      </c>
      <c r="BA4">
        <v>500</v>
      </c>
      <c r="BB4">
        <v>150</v>
      </c>
      <c r="BC4">
        <v>150</v>
      </c>
      <c r="BD4">
        <v>80</v>
      </c>
      <c r="BE4">
        <v>39</v>
      </c>
      <c r="BF4">
        <v>40</v>
      </c>
      <c r="BG4">
        <v>40</v>
      </c>
      <c r="BH4">
        <v>150</v>
      </c>
      <c r="BI4">
        <v>40</v>
      </c>
      <c r="BJ4">
        <v>40</v>
      </c>
      <c r="BK4">
        <v>200</v>
      </c>
      <c r="BL4">
        <v>350</v>
      </c>
      <c r="BM4">
        <v>500</v>
      </c>
    </row>
    <row r="5" spans="1:99">
      <c r="A5" s="1" t="s">
        <v>26</v>
      </c>
      <c r="B5" s="108">
        <f>IF(Dashboard!$B$2="Metric",IF(ISNUMBER(Dashboard!B10),Dashboard!B10,""),IFERROR(VALUE(MID(Dashboard!B10,FIND("(",Dashboard!B10)+1,FIND(" mm",Dashboard!B10)-FIND("(",Dashboard!B10)-1)),""))</f>
        <v>200</v>
      </c>
      <c r="C5" s="1" t="s">
        <v>2195</v>
      </c>
      <c r="E5" t="s">
        <v>633</v>
      </c>
      <c r="F5" s="109">
        <f>IFERROR(INDEX('Material Assumptions'!$I$2:$I$7,MATCH($B$3,'Material Assumptions'!$A$2:$A$7,0)),0.2)</f>
        <v>0.15</v>
      </c>
      <c r="H5" t="s">
        <v>2196</v>
      </c>
      <c r="I5" s="109">
        <f>IF($B$36&gt;0,($B$8+$B$12)/$B$36,0)</f>
        <v>0.22</v>
      </c>
      <c r="K5" t="s">
        <v>2197</v>
      </c>
      <c r="L5" s="109">
        <f>MAX(0.8,MIN(1.5,1+0.35*(($B$26/'Assumptions &amp; Method'!$F$19)-1)))</f>
        <v>0.80400000000000005</v>
      </c>
      <c r="P5" t="s">
        <v>2198</v>
      </c>
      <c r="Q5" t="s">
        <v>24</v>
      </c>
      <c r="R5" t="s">
        <v>24</v>
      </c>
      <c r="AC5" t="s">
        <v>927</v>
      </c>
      <c r="AD5" t="s">
        <v>927</v>
      </c>
      <c r="AF5" s="109">
        <f>IFERROR(IF($AO5="","",IF(Dashboard!$B$2="Metric",$AO5,IF($AO5&lt;25.4,"~"&amp;ROUND($AO5/25.4,1)&amp;" in ("&amp;$AO5&amp;" mm)","~"&amp;ROUND($AO5/25.4,0)&amp;" in ("&amp;$AO5&amp;" mm)"))),"")</f>
        <v>200</v>
      </c>
      <c r="AG5">
        <v>200</v>
      </c>
      <c r="AH5">
        <v>200</v>
      </c>
      <c r="AI5">
        <v>110</v>
      </c>
      <c r="AJ5">
        <v>50</v>
      </c>
      <c r="AK5">
        <v>50</v>
      </c>
      <c r="AL5">
        <v>50</v>
      </c>
      <c r="AM5">
        <v>200</v>
      </c>
      <c r="AN5">
        <v>200</v>
      </c>
      <c r="AO5" s="109">
        <f>IFERROR(IF(Dashboard!$B$6="Measured Acoustic Velocity",IF(Dashboard!$B$8="Ductile iron",INDEX($AM$2:$AM$40,ROW()-1),IF(Dashboard!$B$8="Grey cast iron",INDEX($AN$2:$AN$40,ROW()-1),IF(Dashboard!$B$8="Carbon steel",INDEX($BD$2:$BD$40,ROW()-1),""))),INDEX($BB$2:$BM$40,ROW()-1,MATCH(Dashboard!$B$8,$BB$1:$BM$1,0))),"")</f>
        <v>200</v>
      </c>
      <c r="AU5" s="109" t="str">
        <f>IFERROR(INDEX($Q$2:$AB$7,4,MATCH(Dashboard!$B$8,$Q$1:$AB$1,0)),"")</f>
        <v>Unknown - Average</v>
      </c>
      <c r="AV5">
        <v>200</v>
      </c>
      <c r="AW5">
        <v>50</v>
      </c>
      <c r="AX5">
        <v>50</v>
      </c>
      <c r="AY5">
        <v>250</v>
      </c>
      <c r="AZ5">
        <v>400</v>
      </c>
      <c r="BA5">
        <v>600</v>
      </c>
      <c r="BB5">
        <v>200</v>
      </c>
      <c r="BC5">
        <v>200</v>
      </c>
      <c r="BD5">
        <v>110</v>
      </c>
      <c r="BE5">
        <v>50</v>
      </c>
      <c r="BF5">
        <v>50</v>
      </c>
      <c r="BG5">
        <v>50</v>
      </c>
      <c r="BH5">
        <v>200</v>
      </c>
      <c r="BI5">
        <v>50</v>
      </c>
      <c r="BJ5">
        <v>50</v>
      </c>
      <c r="BK5">
        <v>250</v>
      </c>
      <c r="BL5">
        <v>400</v>
      </c>
      <c r="BM5">
        <v>600</v>
      </c>
      <c r="CN5" t="s">
        <v>2199</v>
      </c>
      <c r="CO5" t="s">
        <v>2200</v>
      </c>
      <c r="CP5" t="s">
        <v>2201</v>
      </c>
      <c r="CQ5" t="s">
        <v>2202</v>
      </c>
      <c r="CR5" t="s">
        <v>2203</v>
      </c>
      <c r="CS5" t="s">
        <v>2204</v>
      </c>
      <c r="CT5" t="s">
        <v>2205</v>
      </c>
      <c r="CU5" t="s">
        <v>2206</v>
      </c>
    </row>
    <row r="6" spans="1:99">
      <c r="A6" s="1" t="s">
        <v>2207</v>
      </c>
      <c r="B6" s="108">
        <f>IF(NOT(ISNUMBER(Dashboard!B11)),"",Dashboard!B11)</f>
        <v>1.35</v>
      </c>
      <c r="C6" s="1" t="s">
        <v>2208</v>
      </c>
      <c r="E6" t="s">
        <v>2209</v>
      </c>
      <c r="F6" s="109">
        <f>IF($B$10="Low",'Assumptions &amp; Method'!$F$13,IF($B$10="Moderate",'Assumptions &amp; Method'!$F$14,IF($B$10="High",'Assumptions &amp; Method'!$F$15,IF($B$10="Severe",'Assumptions &amp; Method'!$F$16,IF($B$10="Unknown - Average",'Assumptions &amp; Method'!$F$17,IF($B$10="Unknown - Worst Case",'Assumptions &amp; Method'!$F$18,'Assumptions &amp; Method'!$F$17))))))</f>
        <v>0.85</v>
      </c>
      <c r="H6" t="s">
        <v>2210</v>
      </c>
      <c r="I6" s="109">
        <f>IF($B$36&gt;0,($B$9+$B$12)/$B$36,0)</f>
        <v>0.22</v>
      </c>
      <c r="K6" t="s">
        <v>2211</v>
      </c>
      <c r="L6" s="109">
        <f>IF(OR($B$7&gt;0,AND($B$6&gt;0,$B$17&gt;0)),MAX(1,MIN(1.5,$B$16/MAX(0.1,$B$19))),1)</f>
        <v>1.3028902398104008</v>
      </c>
      <c r="P6" t="s">
        <v>2212</v>
      </c>
      <c r="Q6" t="s">
        <v>2194</v>
      </c>
      <c r="R6" t="s">
        <v>2194</v>
      </c>
      <c r="AC6" t="s">
        <v>2147</v>
      </c>
      <c r="AD6" t="s">
        <v>2147</v>
      </c>
      <c r="AF6" s="109">
        <f>IFERROR(IF($AO6="","",IF(Dashboard!$B$2="Metric",$AO6,IF($AO6&lt;25.4,"~"&amp;ROUND($AO6/25.4,1)&amp;" in ("&amp;$AO6&amp;" mm)","~"&amp;ROUND($AO6/25.4,0)&amp;" in ("&amp;$AO6&amp;" mm)"))),"")</f>
        <v>250</v>
      </c>
      <c r="AG6">
        <v>250</v>
      </c>
      <c r="AH6">
        <v>250</v>
      </c>
      <c r="AI6">
        <v>130</v>
      </c>
      <c r="AJ6">
        <v>72</v>
      </c>
      <c r="AK6">
        <v>65</v>
      </c>
      <c r="AL6">
        <v>65</v>
      </c>
      <c r="AM6">
        <v>250</v>
      </c>
      <c r="AN6">
        <v>250</v>
      </c>
      <c r="AO6" s="109">
        <f>IFERROR(IF(Dashboard!$B$6="Measured Acoustic Velocity",IF(Dashboard!$B$8="Ductile iron",INDEX($AM$2:$AM$40,ROW()-1),IF(Dashboard!$B$8="Grey cast iron",INDEX($AN$2:$AN$40,ROW()-1),IF(Dashboard!$B$8="Carbon steel",INDEX($BD$2:$BD$40,ROW()-1),""))),INDEX($BB$2:$BM$40,ROW()-1,MATCH(Dashboard!$B$8,$BB$1:$BM$1,0))),"")</f>
        <v>250</v>
      </c>
      <c r="AU6" s="109" t="str">
        <f>IFERROR(INDEX($Q$2:$AB$7,5,MATCH(Dashboard!$B$8,$Q$1:$AB$1,0)),"")</f>
        <v>Unknown - Worst Case</v>
      </c>
      <c r="AV6">
        <v>250</v>
      </c>
      <c r="AW6">
        <v>65</v>
      </c>
      <c r="AX6">
        <v>65</v>
      </c>
      <c r="AY6">
        <v>300</v>
      </c>
      <c r="AZ6">
        <v>450</v>
      </c>
      <c r="BA6">
        <v>700</v>
      </c>
      <c r="BB6">
        <v>250</v>
      </c>
      <c r="BC6">
        <v>250</v>
      </c>
      <c r="BD6">
        <v>130</v>
      </c>
      <c r="BE6">
        <v>72</v>
      </c>
      <c r="BF6">
        <v>65</v>
      </c>
      <c r="BG6">
        <v>65</v>
      </c>
      <c r="BH6">
        <v>250</v>
      </c>
      <c r="BI6">
        <v>65</v>
      </c>
      <c r="BJ6">
        <v>65</v>
      </c>
      <c r="BK6">
        <v>300</v>
      </c>
      <c r="BL6">
        <v>450</v>
      </c>
      <c r="BM6">
        <v>700</v>
      </c>
      <c r="CN6" s="109">
        <f>IF($B$143="INVALID","",IF(Dashboard!$B$2="Metric",'Failure Curve'!B6,'Failure Curve'!B6*'Unit Selection'!$E$7))</f>
        <v>12</v>
      </c>
      <c r="CO6" s="109">
        <f>IF($B$143="INVALID","",MAX(0.1,(('Assumptions &amp; Method'!$B$5*'Assumptions &amp; Method'!$B$6*CN6*'Assumptions &amp; Method'!$B$12)/1000000)*$B$5/(2*$F$2*$B$24*'Assumptions &amp; Method'!$B$13)))</f>
        <v>0.46029437560818914</v>
      </c>
      <c r="CP6" s="109">
        <f>IF($B$143="INVALID","",MAX(IFERROR(INDEX('Material Assumptions'!$E$2:$E$7,MATCH($B$3,'Material Assumptions'!$A$2:$A$7,0)),3),CO6,IF($B$129="Direct Wall Thickness / NDT",IF(ISNUMBER($B$131),$B$131*IFERROR(INDEX('Material Assumptions'!$D$2:$D$7,MATCH($B$3,'Material Assumptions'!$A$2:$A$7,0)),0.55),0),IF($B$129="Measured Acoustic Velocity",$B$121*IFERROR(INDEX('Material Assumptions'!$D$2:$D$7,MATCH($B$3,'Material Assumptions'!$A$2:$A$7,0)),0.55),0))))</f>
        <v>3</v>
      </c>
      <c r="CQ6" s="109" t="str">
        <f t="shared" ref="CQ6:CQ16" si="0">IF(AND(NOT($B$143="INVALID"),$B$129="Direct Wall Thickness / NDT",ISNUMBER($B$131),$B$131&gt;CP6),MAX(0,MIN(1,($B$7-CP6)/($B$131-CP6))),"")</f>
        <v/>
      </c>
      <c r="CR6" s="109">
        <f t="shared" ref="CR6:CR16" si="1">IF($B$143="INVALID","",IF($B$129="Direct Wall Thickness / NDT",MIN(MAX($L$8,$B$133),MAX(0,($B$19-CP6)/MAX(0.000001,$B$21))),$L$37))</f>
        <v>34</v>
      </c>
      <c r="CS6" s="109">
        <f t="shared" ref="CS6:CS16" si="2">IF(AND(NOT($B$143="INVALID"),$B$129="Measured Acoustic Velocity",$B$78="YES",$B$121&gt;CP6),MAX(0,MIN(1,($B$123-CP6)/($B$121-CP6))),0)</f>
        <v>0</v>
      </c>
      <c r="CT6" s="109">
        <f t="shared" ref="CT6:CT16" si="3">IF($B$143="INVALID","",IF($B$129="Measured Acoustic Velocity",$L$9*$L$18*$L$22*$L$30*CS6,$L$33))</f>
        <v>0.65623332946635726</v>
      </c>
      <c r="CU6" s="109">
        <f>IF($B$143="INVALID","",IF($B$129="Measured Acoustic Velocity",'Assumptions &amp; Method'!$F$36+'Assumptions &amp; Method'!$F$37*(1-CS6)+'Assumptions &amp; Method'!$F$38*(1-$L$18)+'Assumptions &amp; Method'!$F$39*(1-$L$9)+$L$31,$L$24))</f>
        <v>0.48376667053364275</v>
      </c>
    </row>
    <row r="7" spans="1:99">
      <c r="A7" s="1" t="s">
        <v>686</v>
      </c>
      <c r="B7" s="108">
        <f>IF(NOT(ISNUMBER(Dashboard!B12)),"",IF(Dashboard!$B$2="Metric",Dashboard!B12,Dashboard!B12*'Unit Selection'!$E$5))</f>
        <v>6</v>
      </c>
      <c r="C7" s="1" t="s">
        <v>2195</v>
      </c>
      <c r="E7" t="s">
        <v>2213</v>
      </c>
      <c r="F7" s="109">
        <f>SQRT(('Assumptions &amp; Method'!$B$4*1000000000)/'Assumptions &amp; Method'!$B$5)/1000</f>
        <v>1.4778129367198969</v>
      </c>
      <c r="H7" t="s">
        <v>583</v>
      </c>
      <c r="I7" s="109">
        <f>IF($B$108="Intermittent supply",MAX(1.1,IF($B$37="Low",1,IF($B$37="Moderate",1.1,IF($B$37="High",1.25,IF($B$37="Severe",1.45,IF($B$37="Unknown - Average",1.2,IF($B$37="Unknown - Worst Case",1.45,1.2))))))),IF($B$37="Low",1,IF($B$37="Moderate",1.1,IF($B$37="High",1.25,IF($B$37="Severe",1.45,IF($B$37="Unknown - Average",1.2,IF($B$37="Unknown - Worst Case",1.45,1.2)))))))</f>
        <v>1</v>
      </c>
      <c r="K7" t="s">
        <v>1082</v>
      </c>
      <c r="L7" s="109">
        <f>$B$15</f>
        <v>41</v>
      </c>
      <c r="P7" s="109" t="str">
        <f>IF($B$129="Direct Wall Thickness / NDT",_xlfn._LONGTEXT("MEASURED WALL CONDITION CONTROLS — governing measured wall is used without a generic pitting deduction. Life follows measured reserve within the larger of the chronological horizon and 25-year review horizon. Representative NDT and periodic reassessment a","re required."),_xlfn._LONGTEXT("MEASURED ACOUSTIC CONDITION CONTROLS — structural reserve scales the larger of the chronological horizon and 25-year review horizon continuously across nominal age. This is section-average evidence; periodic reassessment and confirmation of local conditio","n are required."))</f>
        <v>MEASURED ACOUSTIC CONDITION CONTROLS — structural reserve scales the larger of the chronological horizon and 25-year review horizon continuously across nominal age. This is section-average evidence; periodic reassessment and confirmation of local condition are required.</v>
      </c>
      <c r="R7" s="109" t="str">
        <f>IF(OR($B$5="",$B$5&lt;=300),"Class 4","")</f>
        <v>Class 4</v>
      </c>
      <c r="AC7" t="s">
        <v>2148</v>
      </c>
      <c r="AD7" t="s">
        <v>2148</v>
      </c>
      <c r="AF7" s="109">
        <f>IFERROR(IF($AO7="","",IF(Dashboard!$B$2="Metric",$AO7,IF($AO7&lt;25.4,"~"&amp;ROUND($AO7/25.4,1)&amp;" in ("&amp;$AO7&amp;" mm)","~"&amp;ROUND($AO7/25.4,0)&amp;" in ("&amp;$AO7&amp;" mm)"))),"")</f>
        <v>300</v>
      </c>
      <c r="AG7">
        <v>300</v>
      </c>
      <c r="AH7">
        <v>300</v>
      </c>
      <c r="AI7">
        <v>160</v>
      </c>
      <c r="AJ7">
        <v>103</v>
      </c>
      <c r="AK7">
        <v>80</v>
      </c>
      <c r="AL7">
        <v>75</v>
      </c>
      <c r="AM7">
        <v>300</v>
      </c>
      <c r="AN7">
        <v>300</v>
      </c>
      <c r="AO7" s="109">
        <f>IFERROR(IF(Dashboard!$B$6="Measured Acoustic Velocity",IF(Dashboard!$B$8="Ductile iron",INDEX($AM$2:$AM$40,ROW()-1),IF(Dashboard!$B$8="Grey cast iron",INDEX($AN$2:$AN$40,ROW()-1),IF(Dashboard!$B$8="Carbon steel",INDEX($BD$2:$BD$40,ROW()-1),""))),INDEX($BB$2:$BM$40,ROW()-1,MATCH(Dashboard!$B$8,$BB$1:$BM$1,0))),"")</f>
        <v>300</v>
      </c>
      <c r="AU7" s="109" t="str">
        <f>IFERROR(INDEX($Q$2:$AB$7,6,MATCH(Dashboard!$B$8,$Q$1:$AB$1,0)),"")</f>
        <v>Class 4</v>
      </c>
      <c r="AV7">
        <v>300</v>
      </c>
      <c r="AW7">
        <v>75</v>
      </c>
      <c r="AX7">
        <v>75</v>
      </c>
      <c r="AY7">
        <v>350</v>
      </c>
      <c r="AZ7">
        <v>500</v>
      </c>
      <c r="BA7">
        <v>800</v>
      </c>
      <c r="BB7">
        <v>300</v>
      </c>
      <c r="BC7">
        <v>300</v>
      </c>
      <c r="BD7">
        <v>160</v>
      </c>
      <c r="BE7">
        <v>103</v>
      </c>
      <c r="BF7">
        <v>80</v>
      </c>
      <c r="BG7">
        <v>75</v>
      </c>
      <c r="BH7">
        <v>300</v>
      </c>
      <c r="BI7">
        <v>75</v>
      </c>
      <c r="BJ7">
        <v>75</v>
      </c>
      <c r="BK7">
        <v>350</v>
      </c>
      <c r="BL7">
        <v>500</v>
      </c>
      <c r="BM7">
        <v>800</v>
      </c>
      <c r="CN7" s="109">
        <f>IF($B$143="INVALID","",IF(Dashboard!$B$2="Metric",'Failure Curve'!B7,'Failure Curve'!B7*'Unit Selection'!$E$7))</f>
        <v>22</v>
      </c>
      <c r="CO7" s="109">
        <f>IF($B$143="INVALID","",MAX(0.1,(('Assumptions &amp; Method'!$B$5*'Assumptions &amp; Method'!$B$6*CN7*'Assumptions &amp; Method'!$B$12)/1000000)*$B$5/(2*$F$2*$B$24*'Assumptions &amp; Method'!$B$13)))</f>
        <v>0.8438730219483469</v>
      </c>
      <c r="CP7" s="109">
        <f>IF($B$143="INVALID","",MAX(IFERROR(INDEX('Material Assumptions'!$E$2:$E$7,MATCH($B$3,'Material Assumptions'!$A$2:$A$7,0)),3),CO7,IF($B$129="Direct Wall Thickness / NDT",IF(ISNUMBER($B$131),$B$131*IFERROR(INDEX('Material Assumptions'!$D$2:$D$7,MATCH($B$3,'Material Assumptions'!$A$2:$A$7,0)),0.55),0),IF($B$129="Measured Acoustic Velocity",$B$121*IFERROR(INDEX('Material Assumptions'!$D$2:$D$7,MATCH($B$3,'Material Assumptions'!$A$2:$A$7,0)),0.55),0))))</f>
        <v>3</v>
      </c>
      <c r="CQ7" s="109" t="str">
        <f t="shared" si="0"/>
        <v/>
      </c>
      <c r="CR7" s="109">
        <f t="shared" si="1"/>
        <v>34</v>
      </c>
      <c r="CS7" s="109">
        <f t="shared" si="2"/>
        <v>0</v>
      </c>
      <c r="CT7" s="109">
        <f t="shared" si="3"/>
        <v>0.65623332946635726</v>
      </c>
      <c r="CU7" s="109">
        <f>IF($B$143="INVALID","",IF($B$129="Measured Acoustic Velocity",'Assumptions &amp; Method'!$F$36+'Assumptions &amp; Method'!$F$37*(1-CS7)+'Assumptions &amp; Method'!$F$38*(1-$L$18)+'Assumptions &amp; Method'!$F$39*(1-$L$9)+$L$31,$L$24))</f>
        <v>0.48376667053364275</v>
      </c>
    </row>
    <row r="8" spans="1:99">
      <c r="A8" s="1" t="s">
        <v>2214</v>
      </c>
      <c r="B8" s="108">
        <f>IF(NOT(ISNUMBER(Dashboard!B13)),"",IF(Dashboard!$B$2="Metric",Dashboard!B13,Dashboard!B13*'Unit Selection'!$E$7))</f>
        <v>20</v>
      </c>
      <c r="C8" s="1" t="s">
        <v>2215</v>
      </c>
      <c r="H8" t="s">
        <v>587</v>
      </c>
      <c r="I8" s="109">
        <f>IF($B$38="Good",0.95,IF($B$38="Average",1,IF($B$38="Poor",1.25,IF($B$38="Unknown - Average",1.066666667,IF($B$38="Unknown - Worst Case",1.25,1.066666667)))))</f>
        <v>0.95</v>
      </c>
      <c r="K8" t="s">
        <v>73</v>
      </c>
      <c r="L8" s="109">
        <f>MAX(0,$L$2-$L$7)</f>
        <v>34</v>
      </c>
      <c r="P8" t="s">
        <v>2216</v>
      </c>
      <c r="AC8" t="s">
        <v>2149</v>
      </c>
      <c r="AF8" s="109">
        <f>IFERROR(IF($AO8="","",IF(Dashboard!$B$2="Metric",$AO8,IF($AO8&lt;25.4,"~"&amp;ROUND($AO8/25.4,1)&amp;" in ("&amp;$AO8&amp;" mm)","~"&amp;ROUND($AO8/25.4,0)&amp;" in ("&amp;$AO8&amp;" mm)"))),"")</f>
        <v>350</v>
      </c>
      <c r="AG8">
        <v>350</v>
      </c>
      <c r="AH8">
        <v>350</v>
      </c>
      <c r="AI8">
        <v>180</v>
      </c>
      <c r="AK8">
        <v>100</v>
      </c>
      <c r="AL8">
        <v>80</v>
      </c>
      <c r="AM8">
        <v>350</v>
      </c>
      <c r="AN8">
        <v>350</v>
      </c>
      <c r="AO8" s="109">
        <f>IFERROR(IF(Dashboard!$B$6="Measured Acoustic Velocity",IF(Dashboard!$B$8="Ductile iron",INDEX($AM$2:$AM$40,ROW()-1),IF(Dashboard!$B$8="Grey cast iron",INDEX($AN$2:$AN$40,ROW()-1),IF(Dashboard!$B$8="Carbon steel",INDEX($BD$2:$BD$40,ROW()-1),""))),INDEX($BB$2:$BM$40,ROW()-1,MATCH(Dashboard!$B$8,$BB$1:$BM$1,0))),"")</f>
        <v>350</v>
      </c>
      <c r="AV8">
        <v>350</v>
      </c>
      <c r="AW8">
        <v>80</v>
      </c>
      <c r="AX8">
        <v>80</v>
      </c>
      <c r="AY8">
        <v>400</v>
      </c>
      <c r="AZ8">
        <v>600</v>
      </c>
      <c r="BA8">
        <v>900</v>
      </c>
      <c r="BB8">
        <v>350</v>
      </c>
      <c r="BC8">
        <v>350</v>
      </c>
      <c r="BD8">
        <v>180</v>
      </c>
      <c r="BF8">
        <v>100</v>
      </c>
      <c r="BG8">
        <v>80</v>
      </c>
      <c r="BH8">
        <v>350</v>
      </c>
      <c r="BI8">
        <v>80</v>
      </c>
      <c r="BJ8">
        <v>80</v>
      </c>
      <c r="BK8">
        <v>400</v>
      </c>
      <c r="BL8">
        <v>600</v>
      </c>
      <c r="BM8">
        <v>900</v>
      </c>
      <c r="CN8" s="109">
        <f>IF($B$143="INVALID","",IF(Dashboard!$B$2="Metric",'Failure Curve'!B8,'Failure Curve'!B8*'Unit Selection'!$E$7))</f>
        <v>32</v>
      </c>
      <c r="CO8" s="109">
        <f>IF($B$143="INVALID","",MAX(0.1,(('Assumptions &amp; Method'!$B$5*'Assumptions &amp; Method'!$B$6*CN8*'Assumptions &amp; Method'!$B$12)/1000000)*$B$5/(2*$F$2*$B$24*'Assumptions &amp; Method'!$B$13)))</f>
        <v>1.2274516682885046</v>
      </c>
      <c r="CP8" s="109">
        <f>IF($B$143="INVALID","",MAX(IFERROR(INDEX('Material Assumptions'!$E$2:$E$7,MATCH($B$3,'Material Assumptions'!$A$2:$A$7,0)),3),CO8,IF($B$129="Direct Wall Thickness / NDT",IF(ISNUMBER($B$131),$B$131*IFERROR(INDEX('Material Assumptions'!$D$2:$D$7,MATCH($B$3,'Material Assumptions'!$A$2:$A$7,0)),0.55),0),IF($B$129="Measured Acoustic Velocity",$B$121*IFERROR(INDEX('Material Assumptions'!$D$2:$D$7,MATCH($B$3,'Material Assumptions'!$A$2:$A$7,0)),0.55),0))))</f>
        <v>3</v>
      </c>
      <c r="CQ8" s="109" t="str">
        <f t="shared" si="0"/>
        <v/>
      </c>
      <c r="CR8" s="109">
        <f t="shared" si="1"/>
        <v>34</v>
      </c>
      <c r="CS8" s="109">
        <f t="shared" si="2"/>
        <v>0</v>
      </c>
      <c r="CT8" s="109">
        <f t="shared" si="3"/>
        <v>0.65623332946635726</v>
      </c>
      <c r="CU8" s="109">
        <f>IF($B$143="INVALID","",IF($B$129="Measured Acoustic Velocity",'Assumptions &amp; Method'!$F$36+'Assumptions &amp; Method'!$F$37*(1-CS8)+'Assumptions &amp; Method'!$F$38*(1-$L$18)+'Assumptions &amp; Method'!$F$39*(1-$L$9)+$L$31,$L$24))</f>
        <v>0.48376667053364275</v>
      </c>
    </row>
    <row r="9" spans="1:99">
      <c r="A9" s="1" t="s">
        <v>2217</v>
      </c>
      <c r="B9" s="108">
        <f>IF(NOT(ISNUMBER(Dashboard!B14)),"",IF(Dashboard!$B$2="Metric",Dashboard!B14,Dashboard!B14*'Unit Selection'!$E$7))</f>
        <v>20</v>
      </c>
      <c r="C9" s="1" t="s">
        <v>2215</v>
      </c>
      <c r="H9" t="s">
        <v>591</v>
      </c>
      <c r="I9" s="109">
        <f>IF($I$2="Plastic",IF($B$10="Severe",1.1,IF($B$10="High",1.05,IF($B$10="Unknown - Average",1.0375,IF($B$10="Unknown - Worst Case",1.1,1)))),IF($I$2="AC",IF($B$10="Low",0.9,IF($B$10="Moderate",1,IF($B$10="High",1.25,IF($B$10="Severe",1.5,IF($B$10="Unknown - Average",1.1625,IF($B$10="Unknown - Worst Case",1.5,1.1625)))))),IF(OR($I$2="GRP",$I$2="PCCP",$I$2="Concrete"),IF($B$10="High",1.15,IF($B$10="Severe",1.25,IF($B$10="Unknown - Average",1.1,IF($B$10="Unknown - Worst Case",1.25,1)))),1)))</f>
        <v>1</v>
      </c>
      <c r="K9" t="s">
        <v>2218</v>
      </c>
      <c r="L9" s="109">
        <f>MIN(1,1/MAX(0.01,$L$3))</f>
        <v>1</v>
      </c>
      <c r="P9" t="s">
        <v>2219</v>
      </c>
      <c r="AC9" t="s">
        <v>2150</v>
      </c>
      <c r="AF9" s="109">
        <f>IFERROR(IF($AO9="","",IF(Dashboard!$B$2="Metric",$AO9,IF($AO9&lt;25.4,"~"&amp;ROUND($AO9/25.4,1)&amp;" in ("&amp;$AO9&amp;" mm)","~"&amp;ROUND($AO9/25.4,0)&amp;" in ("&amp;$AO9&amp;" mm)"))),"")</f>
        <v>400</v>
      </c>
      <c r="AG9">
        <v>400</v>
      </c>
      <c r="AH9">
        <v>400</v>
      </c>
      <c r="AI9">
        <v>210</v>
      </c>
      <c r="AK9">
        <v>125</v>
      </c>
      <c r="AL9">
        <v>100</v>
      </c>
      <c r="AM9">
        <v>400</v>
      </c>
      <c r="AN9">
        <v>400</v>
      </c>
      <c r="AO9" s="109">
        <f>IFERROR(IF(Dashboard!$B$6="Measured Acoustic Velocity",IF(Dashboard!$B$8="Ductile iron",INDEX($AM$2:$AM$40,ROW()-1),IF(Dashboard!$B$8="Grey cast iron",INDEX($AN$2:$AN$40,ROW()-1),IF(Dashboard!$B$8="Carbon steel",INDEX($BD$2:$BD$40,ROW()-1),""))),INDEX($BB$2:$BM$40,ROW()-1,MATCH(Dashboard!$B$8,$BB$1:$BM$1,0))),"")</f>
        <v>400</v>
      </c>
      <c r="AV9">
        <v>400</v>
      </c>
      <c r="AW9">
        <v>100</v>
      </c>
      <c r="AX9">
        <v>100</v>
      </c>
      <c r="AY9">
        <v>450</v>
      </c>
      <c r="AZ9">
        <v>700</v>
      </c>
      <c r="BA9">
        <v>1000</v>
      </c>
      <c r="BB9">
        <v>400</v>
      </c>
      <c r="BC9">
        <v>400</v>
      </c>
      <c r="BD9">
        <v>210</v>
      </c>
      <c r="BF9">
        <v>125</v>
      </c>
      <c r="BG9">
        <v>100</v>
      </c>
      <c r="BH9">
        <v>400</v>
      </c>
      <c r="BI9">
        <v>100</v>
      </c>
      <c r="BJ9">
        <v>100</v>
      </c>
      <c r="BK9">
        <v>450</v>
      </c>
      <c r="BL9">
        <v>700</v>
      </c>
      <c r="BM9">
        <v>1000</v>
      </c>
      <c r="CN9" s="109">
        <f>IF($B$143="INVALID","",IF(Dashboard!$B$2="Metric",'Failure Curve'!B9,'Failure Curve'!B9*'Unit Selection'!$E$7))</f>
        <v>42</v>
      </c>
      <c r="CO9" s="109">
        <f>IF($B$143="INVALID","",MAX(0.1,(('Assumptions &amp; Method'!$B$5*'Assumptions &amp; Method'!$B$6*CN9*'Assumptions &amp; Method'!$B$12)/1000000)*$B$5/(2*$F$2*$B$24*'Assumptions &amp; Method'!$B$13)))</f>
        <v>1.6110303146286622</v>
      </c>
      <c r="CP9" s="109">
        <f>IF($B$143="INVALID","",MAX(IFERROR(INDEX('Material Assumptions'!$E$2:$E$7,MATCH($B$3,'Material Assumptions'!$A$2:$A$7,0)),3),CO9,IF($B$129="Direct Wall Thickness / NDT",IF(ISNUMBER($B$131),$B$131*IFERROR(INDEX('Material Assumptions'!$D$2:$D$7,MATCH($B$3,'Material Assumptions'!$A$2:$A$7,0)),0.55),0),IF($B$129="Measured Acoustic Velocity",$B$121*IFERROR(INDEX('Material Assumptions'!$D$2:$D$7,MATCH($B$3,'Material Assumptions'!$A$2:$A$7,0)),0.55),0))))</f>
        <v>3</v>
      </c>
      <c r="CQ9" s="109" t="str">
        <f t="shared" si="0"/>
        <v/>
      </c>
      <c r="CR9" s="109">
        <f t="shared" si="1"/>
        <v>34</v>
      </c>
      <c r="CS9" s="109">
        <f t="shared" si="2"/>
        <v>0</v>
      </c>
      <c r="CT9" s="109">
        <f t="shared" si="3"/>
        <v>0.65623332946635726</v>
      </c>
      <c r="CU9" s="109">
        <f>IF($B$143="INVALID","",IF($B$129="Measured Acoustic Velocity",'Assumptions &amp; Method'!$F$36+'Assumptions &amp; Method'!$F$37*(1-CS9)+'Assumptions &amp; Method'!$F$38*(1-$L$18)+'Assumptions &amp; Method'!$F$39*(1-$L$9)+$L$31,$L$24))</f>
        <v>0.48376667053364275</v>
      </c>
    </row>
    <row r="10" spans="1:99">
      <c r="A10" s="1" t="s">
        <v>31</v>
      </c>
      <c r="B10" s="108" t="str">
        <f>Dashboard!B15</f>
        <v>Low</v>
      </c>
      <c r="C10" s="1"/>
      <c r="H10" t="s">
        <v>595</v>
      </c>
      <c r="I10" s="109">
        <f>IF($I$2="Plastic",1.7,IF($I$2="GRP",1.5,IF($I$2="AC",1.8,IF($I$2="PCCP",1.6,1.5))))</f>
        <v>1.5</v>
      </c>
      <c r="K10" t="s">
        <v>2220</v>
      </c>
      <c r="L10" s="109">
        <f>MIN(1,1/MAX(0.01,$L$4))</f>
        <v>1</v>
      </c>
      <c r="P10" s="109" t="str">
        <f>IF(Dashboard!$B$6="Direct Wall Thickness / NDT",IF($I$2&lt;&gt;"Metallic","INPUT CHECK REQUIRED — Direct Wall Thickness / NDT is not implemented for the selected non-metallic material. Use Engineering Best-Practice Assessment.","INPUT CHECK REQUIRED — Direct Wall Thickness / NDT is selected but no usable positive wall measurement is entered. Enter valid NDT/UT wall evidence before using the life result."),IF(Dashboard!$B$6="Measured Acoustic Velocity",IF(NOT(OR($B$3="Ductile iron",$B$3="Grey cast iron",$B$3="Carbon steel")),"INPUT CHECK REQUIRED — The FINAL acoustic remaining-life route is released only for Ductile iron, Grey cast iron and Carbon steel. Use Engineering Best-Practice or Direct Wall/NDT for the selected material.",IF(OR(NOT(ISNUMBER($B$6)),$B$6&lt;=0),"INPUT CHECK REQUIRED — Measured Acoustic Velocity is selected but no usable positive velocity has been entered.",IF(OR(NOT(ISNUMBER($B$121)),$B$121&lt;=0,NOT(ISNUMBER($B$122)),$B$122&lt;=0),"INPUT CHECK REQUIRED — No released acoustic calibration exists for the selected material/diameter/class. Select a supported combination or another assessment method.",IF($B$125="INVALID","INPUT CHECK REQUIRED — Measured acoustic velocity is outside the broad physical/input-quality plausibility envelope. Check units, decimal placement, pipe identity, charging/air condition and measurement quality before using the assessment.","INPUT CHECK REQUIRED — Correct the selected-method evidence before using the assessment.")))),"INPUT CHECK REQUIRED — Select a valid condition-assessment method."))</f>
        <v>INPUT CHECK REQUIRED — Select a valid condition-assessment method.</v>
      </c>
      <c r="AC10" t="s">
        <v>2151</v>
      </c>
      <c r="AF10" s="109">
        <f>IFERROR(IF($AO10="","",IF(Dashboard!$B$2="Metric",$AO10,IF($AO10&lt;25.4,"~"&amp;ROUND($AO10/25.4,1)&amp;" in ("&amp;$AO10&amp;" mm)","~"&amp;ROUND($AO10/25.4,0)&amp;" in ("&amp;$AO10&amp;" mm)"))),"")</f>
        <v>450</v>
      </c>
      <c r="AG10">
        <v>450</v>
      </c>
      <c r="AH10">
        <v>450</v>
      </c>
      <c r="AI10">
        <v>240</v>
      </c>
      <c r="AK10">
        <v>150</v>
      </c>
      <c r="AL10">
        <v>125</v>
      </c>
      <c r="AM10">
        <v>450</v>
      </c>
      <c r="AN10">
        <v>450</v>
      </c>
      <c r="AO10" s="109">
        <f>IFERROR(IF(Dashboard!$B$6="Measured Acoustic Velocity",IF(Dashboard!$B$8="Ductile iron",INDEX($AM$2:$AM$40,ROW()-1),IF(Dashboard!$B$8="Grey cast iron",INDEX($AN$2:$AN$40,ROW()-1),IF(Dashboard!$B$8="Carbon steel",INDEX($BD$2:$BD$40,ROW()-1),""))),INDEX($BB$2:$BM$40,ROW()-1,MATCH(Dashboard!$B$8,$BB$1:$BM$1,0))),"")</f>
        <v>450</v>
      </c>
      <c r="AV10">
        <v>450</v>
      </c>
      <c r="AW10">
        <v>125</v>
      </c>
      <c r="AX10">
        <v>125</v>
      </c>
      <c r="AY10">
        <v>500</v>
      </c>
      <c r="AZ10">
        <v>800</v>
      </c>
      <c r="BA10">
        <v>1200</v>
      </c>
      <c r="BB10">
        <v>450</v>
      </c>
      <c r="BC10">
        <v>450</v>
      </c>
      <c r="BD10">
        <v>240</v>
      </c>
      <c r="BF10">
        <v>150</v>
      </c>
      <c r="BG10">
        <v>125</v>
      </c>
      <c r="BH10">
        <v>450</v>
      </c>
      <c r="BI10">
        <v>125</v>
      </c>
      <c r="BJ10">
        <v>125</v>
      </c>
      <c r="BK10">
        <v>500</v>
      </c>
      <c r="BL10">
        <v>800</v>
      </c>
      <c r="BM10">
        <v>1200</v>
      </c>
      <c r="CN10" s="109">
        <f>IF($B$143="INVALID","",IF(Dashboard!$B$2="Metric",'Failure Curve'!B10,'Failure Curve'!B10*'Unit Selection'!$E$7))</f>
        <v>52</v>
      </c>
      <c r="CO10" s="109">
        <f>IF($B$143="INVALID","",MAX(0.1,(('Assumptions &amp; Method'!$B$5*'Assumptions &amp; Method'!$B$6*CN10*'Assumptions &amp; Method'!$B$12)/1000000)*$B$5/(2*$F$2*$B$24*'Assumptions &amp; Method'!$B$13)))</f>
        <v>1.9946089609688196</v>
      </c>
      <c r="CP10" s="109">
        <f>IF($B$143="INVALID","",MAX(IFERROR(INDEX('Material Assumptions'!$E$2:$E$7,MATCH($B$3,'Material Assumptions'!$A$2:$A$7,0)),3),CO10,IF($B$129="Direct Wall Thickness / NDT",IF(ISNUMBER($B$131),$B$131*IFERROR(INDEX('Material Assumptions'!$D$2:$D$7,MATCH($B$3,'Material Assumptions'!$A$2:$A$7,0)),0.55),0),IF($B$129="Measured Acoustic Velocity",$B$121*IFERROR(INDEX('Material Assumptions'!$D$2:$D$7,MATCH($B$3,'Material Assumptions'!$A$2:$A$7,0)),0.55),0))))</f>
        <v>3</v>
      </c>
      <c r="CQ10" s="109" t="str">
        <f t="shared" si="0"/>
        <v/>
      </c>
      <c r="CR10" s="109">
        <f t="shared" si="1"/>
        <v>34</v>
      </c>
      <c r="CS10" s="109">
        <f t="shared" si="2"/>
        <v>0</v>
      </c>
      <c r="CT10" s="109">
        <f t="shared" si="3"/>
        <v>0.65623332946635726</v>
      </c>
      <c r="CU10" s="109">
        <f>IF($B$143="INVALID","",IF($B$129="Measured Acoustic Velocity",'Assumptions &amp; Method'!$F$36+'Assumptions &amp; Method'!$F$37*(1-CS10)+'Assumptions &amp; Method'!$F$38*(1-$L$18)+'Assumptions &amp; Method'!$F$39*(1-$L$9)+$L$31,$L$24))</f>
        <v>0.48376667053364275</v>
      </c>
    </row>
    <row r="11" spans="1:99">
      <c r="A11" s="1" t="s">
        <v>701</v>
      </c>
      <c r="B11" s="108">
        <f>Dashboard!B16</f>
        <v>3</v>
      </c>
      <c r="C11" s="1" t="s">
        <v>2221</v>
      </c>
      <c r="H11" t="s">
        <v>2222</v>
      </c>
      <c r="I11" s="109">
        <f>MAX(0,1-($I$4^$I$10)*$I$7*$I$8*$I$9*MAX(0.5,1+1.5*MAX(0,$I$5-0.5)^2))</f>
        <v>1</v>
      </c>
      <c r="K11" t="s">
        <v>2223</v>
      </c>
      <c r="L11" s="109">
        <f>MIN(1,1/MAX(0.01,$L$5))</f>
        <v>1</v>
      </c>
      <c r="O11" t="s">
        <v>2224</v>
      </c>
      <c r="P11" s="109" t="str">
        <f>IF(AND($B$157="INVALID",$B$158="INVALID"),$P$13,IF($B$157="INVALID",$P$14,IF($B$158="INVALID",$P$15,$P$16)))</f>
        <v>INPUT CHECK REQUIRED — Correct the material/class/diameter selection before using the assessment.</v>
      </c>
      <c r="AC11" t="s">
        <v>258</v>
      </c>
      <c r="AF11" s="109">
        <f>IFERROR(IF($AO11="","",IF(Dashboard!$B$2="Metric",$AO11,IF($AO11&lt;25.4,"~"&amp;ROUND($AO11/25.4,1)&amp;" in ("&amp;$AO11&amp;" mm)","~"&amp;ROUND($AO11/25.4,0)&amp;" in ("&amp;$AO11&amp;" mm)"))),"")</f>
        <v>500</v>
      </c>
      <c r="AG11">
        <v>500</v>
      </c>
      <c r="AH11">
        <v>500</v>
      </c>
      <c r="AI11">
        <v>260</v>
      </c>
      <c r="AL11">
        <v>150</v>
      </c>
      <c r="AM11">
        <v>500</v>
      </c>
      <c r="AN11">
        <v>500</v>
      </c>
      <c r="AO11" s="109">
        <f>IFERROR(IF(Dashboard!$B$6="Measured Acoustic Velocity",IF(Dashboard!$B$8="Ductile iron",INDEX($AM$2:$AM$40,ROW()-1),IF(Dashboard!$B$8="Grey cast iron",INDEX($AN$2:$AN$40,ROW()-1),IF(Dashboard!$B$8="Carbon steel",INDEX($BD$2:$BD$40,ROW()-1),""))),INDEX($BB$2:$BM$40,ROW()-1,MATCH(Dashboard!$B$8,$BB$1:$BM$1,0))),"")</f>
        <v>500</v>
      </c>
      <c r="AV11">
        <v>500</v>
      </c>
      <c r="AW11">
        <v>150</v>
      </c>
      <c r="AX11">
        <v>150</v>
      </c>
      <c r="AY11">
        <v>600</v>
      </c>
      <c r="AZ11">
        <v>900</v>
      </c>
      <c r="BA11">
        <v>1400</v>
      </c>
      <c r="BB11">
        <v>500</v>
      </c>
      <c r="BC11">
        <v>500</v>
      </c>
      <c r="BD11">
        <v>260</v>
      </c>
      <c r="BG11">
        <v>150</v>
      </c>
      <c r="BH11">
        <v>500</v>
      </c>
      <c r="BI11">
        <v>150</v>
      </c>
      <c r="BJ11">
        <v>150</v>
      </c>
      <c r="BK11">
        <v>600</v>
      </c>
      <c r="BL11">
        <v>900</v>
      </c>
      <c r="BM11">
        <v>1400</v>
      </c>
      <c r="CN11" s="109">
        <f>IF($B$143="INVALID","",IF(Dashboard!$B$2="Metric",'Failure Curve'!B11,'Failure Curve'!B11*'Unit Selection'!$E$7))</f>
        <v>62</v>
      </c>
      <c r="CO11" s="109">
        <f>IF($B$143="INVALID","",MAX(0.1,(('Assumptions &amp; Method'!$B$5*'Assumptions &amp; Method'!$B$6*CN11*'Assumptions &amp; Method'!$B$12)/1000000)*$B$5/(2*$F$2*$B$24*'Assumptions &amp; Method'!$B$13)))</f>
        <v>2.3781876073089769</v>
      </c>
      <c r="CP11" s="109">
        <f>IF($B$143="INVALID","",MAX(IFERROR(INDEX('Material Assumptions'!$E$2:$E$7,MATCH($B$3,'Material Assumptions'!$A$2:$A$7,0)),3),CO11,IF($B$129="Direct Wall Thickness / NDT",IF(ISNUMBER($B$131),$B$131*IFERROR(INDEX('Material Assumptions'!$D$2:$D$7,MATCH($B$3,'Material Assumptions'!$A$2:$A$7,0)),0.55),0),IF($B$129="Measured Acoustic Velocity",$B$121*IFERROR(INDEX('Material Assumptions'!$D$2:$D$7,MATCH($B$3,'Material Assumptions'!$A$2:$A$7,0)),0.55),0))))</f>
        <v>3</v>
      </c>
      <c r="CQ11" s="109" t="str">
        <f t="shared" si="0"/>
        <v/>
      </c>
      <c r="CR11" s="109">
        <f t="shared" si="1"/>
        <v>34</v>
      </c>
      <c r="CS11" s="109">
        <f t="shared" si="2"/>
        <v>0</v>
      </c>
      <c r="CT11" s="109">
        <f t="shared" si="3"/>
        <v>0.65623332946635726</v>
      </c>
      <c r="CU11" s="109">
        <f>IF($B$143="INVALID","",IF($B$129="Measured Acoustic Velocity",'Assumptions &amp; Method'!$F$36+'Assumptions &amp; Method'!$F$37*(1-CS11)+'Assumptions &amp; Method'!$F$38*(1-$L$18)+'Assumptions &amp; Method'!$F$39*(1-$L$9)+$L$31,$L$24))</f>
        <v>0.48376667053364275</v>
      </c>
    </row>
    <row r="12" spans="1:99">
      <c r="A12" s="1" t="s">
        <v>2225</v>
      </c>
      <c r="B12" s="108">
        <f>IF(NOT(ISNUMBER(Dashboard!B17)),"",IF(Dashboard!$B$2="Metric",Dashboard!B17,Dashboard!B17*'Unit Selection'!$E$7))</f>
        <v>2</v>
      </c>
      <c r="C12" s="1" t="s">
        <v>2215</v>
      </c>
      <c r="H12" t="s">
        <v>2226</v>
      </c>
      <c r="I12" s="109">
        <f>MAX(0,1-($I$4^$I$10)*$I$7*$I$8*$I$9*MAX(0.5,1+1.5*MAX(0,$I$6-0.5)^2))</f>
        <v>1</v>
      </c>
      <c r="K12" t="s">
        <v>2227</v>
      </c>
      <c r="L12" s="109">
        <f>$L$19</f>
        <v>0.72914814385150806</v>
      </c>
      <c r="O12" t="s">
        <v>2228</v>
      </c>
      <c r="P12" s="109" t="str">
        <f>IF($B$160="INVALID","INPUT CHECK REQUIRED — One or more categorical inputs are not a released selectable value. Reselect Units, Assessment Method, Soil, Structural Condition, Cycling/Surge, Installation/Joints, Failure History and Supply Regime from their drop-downs.",IF($B$161="INVALID","INPUT CHECK REQUIRED — Consequence of failure must be a whole number from 1 (low) to 5 (critical).",IF($B$162="INVALID","INPUT CHECK REQUIRED — A positive Pipe Pressure Class / Rating is required for the selected non-metallic Engineering Best-Practice screening calculation.","INPUT CHECK REQUIRED — Correct the required input before using the assessment.")))</f>
        <v>INPUT CHECK REQUIRED — Correct the required input before using the assessment.</v>
      </c>
      <c r="AC12" t="s">
        <v>2152</v>
      </c>
      <c r="AF12" s="109">
        <f>IFERROR(IF($AO12="","",IF(Dashboard!$B$2="Metric",$AO12,IF($AO12&lt;25.4,"~"&amp;ROUND($AO12/25.4,1)&amp;" in ("&amp;$AO12&amp;" mm)","~"&amp;ROUND($AO12/25.4,0)&amp;" in ("&amp;$AO12&amp;" mm)"))),"")</f>
        <v>600</v>
      </c>
      <c r="AG12">
        <v>600</v>
      </c>
      <c r="AH12">
        <v>600</v>
      </c>
      <c r="AI12">
        <v>320</v>
      </c>
      <c r="AL12">
        <v>200</v>
      </c>
      <c r="AM12">
        <v>600</v>
      </c>
      <c r="AN12">
        <v>600</v>
      </c>
      <c r="AO12" s="109">
        <f>IFERROR(IF(Dashboard!$B$6="Measured Acoustic Velocity",IF(Dashboard!$B$8="Ductile iron",INDEX($AM$2:$AM$40,ROW()-1),IF(Dashboard!$B$8="Grey cast iron",INDEX($AN$2:$AN$40,ROW()-1),IF(Dashboard!$B$8="Carbon steel",INDEX($BD$2:$BD$40,ROW()-1),""))),INDEX($BB$2:$BM$40,ROW()-1,MATCH(Dashboard!$B$8,$BB$1:$BM$1,0))),"")</f>
        <v>600</v>
      </c>
      <c r="AV12">
        <v>600</v>
      </c>
      <c r="AW12">
        <v>200</v>
      </c>
      <c r="AX12">
        <v>200</v>
      </c>
      <c r="AY12">
        <v>700</v>
      </c>
      <c r="AZ12">
        <v>1000</v>
      </c>
      <c r="BA12">
        <v>1600</v>
      </c>
      <c r="BB12">
        <v>600</v>
      </c>
      <c r="BC12">
        <v>600</v>
      </c>
      <c r="BD12">
        <v>320</v>
      </c>
      <c r="BG12">
        <v>200</v>
      </c>
      <c r="BH12">
        <v>600</v>
      </c>
      <c r="BI12">
        <v>200</v>
      </c>
      <c r="BJ12">
        <v>200</v>
      </c>
      <c r="BK12">
        <v>700</v>
      </c>
      <c r="BL12">
        <v>1000</v>
      </c>
      <c r="BM12">
        <v>1600</v>
      </c>
      <c r="CN12" s="109">
        <f>IF($B$143="INVALID","",IF(Dashboard!$B$2="Metric",'Failure Curve'!B12,'Failure Curve'!B12*'Unit Selection'!$E$7))</f>
        <v>72</v>
      </c>
      <c r="CO12" s="109">
        <f>IF($B$143="INVALID","",MAX(0.1,(('Assumptions &amp; Method'!$B$5*'Assumptions &amp; Method'!$B$6*CN12*'Assumptions &amp; Method'!$B$12)/1000000)*$B$5/(2*$F$2*$B$24*'Assumptions &amp; Method'!$B$13)))</f>
        <v>2.7617662536491352</v>
      </c>
      <c r="CP12" s="109">
        <f>IF($B$143="INVALID","",MAX(IFERROR(INDEX('Material Assumptions'!$E$2:$E$7,MATCH($B$3,'Material Assumptions'!$A$2:$A$7,0)),3),CO12,IF($B$129="Direct Wall Thickness / NDT",IF(ISNUMBER($B$131),$B$131*IFERROR(INDEX('Material Assumptions'!$D$2:$D$7,MATCH($B$3,'Material Assumptions'!$A$2:$A$7,0)),0.55),0),IF($B$129="Measured Acoustic Velocity",$B$121*IFERROR(INDEX('Material Assumptions'!$D$2:$D$7,MATCH($B$3,'Material Assumptions'!$A$2:$A$7,0)),0.55),0))))</f>
        <v>3</v>
      </c>
      <c r="CQ12" s="109" t="str">
        <f t="shared" si="0"/>
        <v/>
      </c>
      <c r="CR12" s="109">
        <f t="shared" si="1"/>
        <v>34</v>
      </c>
      <c r="CS12" s="109">
        <f t="shared" si="2"/>
        <v>0</v>
      </c>
      <c r="CT12" s="109">
        <f t="shared" si="3"/>
        <v>0.65623332946635726</v>
      </c>
      <c r="CU12" s="109">
        <f>IF($B$143="INVALID","",IF($B$129="Measured Acoustic Velocity",'Assumptions &amp; Method'!$F$36+'Assumptions &amp; Method'!$F$37*(1-CS12)+'Assumptions &amp; Method'!$F$38*(1-$L$18)+'Assumptions &amp; Method'!$F$39*(1-$L$9)+$L$31,$L$24))</f>
        <v>0.48376667053364275</v>
      </c>
    </row>
    <row r="13" spans="1:99">
      <c r="A13" s="1" t="s">
        <v>37</v>
      </c>
      <c r="B13" s="108" t="str">
        <f>Dashboard!B18</f>
        <v>Auto</v>
      </c>
      <c r="C13" s="1"/>
      <c r="H13" t="s">
        <v>2229</v>
      </c>
      <c r="I13" s="109" t="str">
        <f>IF($I$3&lt;=0,"",MAX(0,$I$3*(1-$I$4)*$I$11*$I$18*$I$19))</f>
        <v/>
      </c>
      <c r="K13" t="s">
        <v>2230</v>
      </c>
      <c r="L13" s="109">
        <f>MAX(0,IF($B$129="Direct Wall Thickness / NDT",IF(ISNUMBER($B$139),MIN($B$139,$B$139*$L$33*$L$25*$B$109),0),MIN($L$37,$L$37*$L$33*$L$25*$B$109)))</f>
        <v>27.353130745782881</v>
      </c>
      <c r="O13" t="s">
        <v>2231</v>
      </c>
      <c r="P13" t="s">
        <v>2232</v>
      </c>
      <c r="AC13" t="s">
        <v>2153</v>
      </c>
      <c r="AF13" s="109">
        <f>IFERROR(IF($AO13="","",IF(Dashboard!$B$2="Metric",$AO13,IF($AO13&lt;25.4,"~"&amp;ROUND($AO13/25.4,1)&amp;" in ("&amp;$AO13&amp;" mm)","~"&amp;ROUND($AO13/25.4,0)&amp;" in ("&amp;$AO13&amp;" mm)"))),"")</f>
        <v>700</v>
      </c>
      <c r="AG13">
        <v>700</v>
      </c>
      <c r="AH13">
        <v>700</v>
      </c>
      <c r="AI13">
        <v>350</v>
      </c>
      <c r="AL13">
        <v>250</v>
      </c>
      <c r="AM13">
        <v>700</v>
      </c>
      <c r="AN13">
        <v>700</v>
      </c>
      <c r="AO13" s="109">
        <f>IFERROR(IF(Dashboard!$B$6="Measured Acoustic Velocity",IF(Dashboard!$B$8="Ductile iron",INDEX($AM$2:$AM$40,ROW()-1),IF(Dashboard!$B$8="Grey cast iron",INDEX($AN$2:$AN$40,ROW()-1),IF(Dashboard!$B$8="Carbon steel",INDEX($BD$2:$BD$40,ROW()-1),""))),INDEX($BB$2:$BM$40,ROW()-1,MATCH(Dashboard!$B$8,$BB$1:$BM$1,0))),"")</f>
        <v>700</v>
      </c>
      <c r="AV13">
        <v>700</v>
      </c>
      <c r="AW13">
        <v>250</v>
      </c>
      <c r="AX13">
        <v>250</v>
      </c>
      <c r="AY13">
        <v>800</v>
      </c>
      <c r="AZ13">
        <v>1200</v>
      </c>
      <c r="BA13">
        <v>1800</v>
      </c>
      <c r="BB13">
        <v>700</v>
      </c>
      <c r="BC13">
        <v>700</v>
      </c>
      <c r="BD13">
        <v>350</v>
      </c>
      <c r="BG13">
        <v>250</v>
      </c>
      <c r="BH13">
        <v>700</v>
      </c>
      <c r="BI13">
        <v>250</v>
      </c>
      <c r="BJ13">
        <v>250</v>
      </c>
      <c r="BK13">
        <v>800</v>
      </c>
      <c r="BL13">
        <v>1200</v>
      </c>
      <c r="BM13">
        <v>1800</v>
      </c>
      <c r="CN13" s="109">
        <f>IF($B$143="INVALID","",IF(Dashboard!$B$2="Metric",'Failure Curve'!B13,'Failure Curve'!B13*'Unit Selection'!$E$7))</f>
        <v>82</v>
      </c>
      <c r="CO13" s="109">
        <f>IF($B$143="INVALID","",MAX(0.1,(('Assumptions &amp; Method'!$B$5*'Assumptions &amp; Method'!$B$6*CN13*'Assumptions &amp; Method'!$B$12)/1000000)*$B$5/(2*$F$2*$B$24*'Assumptions &amp; Method'!$B$13)))</f>
        <v>3.1453448999892926</v>
      </c>
      <c r="CP13" s="109">
        <f>IF($B$143="INVALID","",MAX(IFERROR(INDEX('Material Assumptions'!$E$2:$E$7,MATCH($B$3,'Material Assumptions'!$A$2:$A$7,0)),3),CO13,IF($B$129="Direct Wall Thickness / NDT",IF(ISNUMBER($B$131),$B$131*IFERROR(INDEX('Material Assumptions'!$D$2:$D$7,MATCH($B$3,'Material Assumptions'!$A$2:$A$7,0)),0.55),0),IF($B$129="Measured Acoustic Velocity",$B$121*IFERROR(INDEX('Material Assumptions'!$D$2:$D$7,MATCH($B$3,'Material Assumptions'!$A$2:$A$7,0)),0.55),0))))</f>
        <v>3.1453448999892926</v>
      </c>
      <c r="CQ13" s="109" t="str">
        <f t="shared" si="0"/>
        <v/>
      </c>
      <c r="CR13" s="109">
        <f t="shared" si="1"/>
        <v>34</v>
      </c>
      <c r="CS13" s="109">
        <f t="shared" si="2"/>
        <v>0</v>
      </c>
      <c r="CT13" s="109">
        <f t="shared" si="3"/>
        <v>0.65623332946635726</v>
      </c>
      <c r="CU13" s="109">
        <f>IF($B$143="INVALID","",IF($B$129="Measured Acoustic Velocity",'Assumptions &amp; Method'!$F$36+'Assumptions &amp; Method'!$F$37*(1-CS13)+'Assumptions &amp; Method'!$F$38*(1-$L$18)+'Assumptions &amp; Method'!$F$39*(1-$L$9)+$L$31,$L$24))</f>
        <v>0.48376667053364275</v>
      </c>
    </row>
    <row r="14" spans="1:99">
      <c r="A14" s="1"/>
      <c r="B14" s="1"/>
      <c r="C14" s="1"/>
      <c r="H14" t="s">
        <v>2233</v>
      </c>
      <c r="I14" s="109" t="str">
        <f>IF($I$3&lt;=0,"",MAX(0,$I$3*(1-$I$4)*$I$12*$I$18*$I$19))</f>
        <v/>
      </c>
      <c r="K14" t="s">
        <v>2234</v>
      </c>
      <c r="L14" s="109">
        <f>MAX(0,IF($B$129="Direct Wall Thickness / NDT",IF(ISNUMBER($B$140),MIN($B$140,$B$140*$L$39*$L$26*$B$109),0),MIN($L$37,$L$37*$L$39*$L$26*$B$109)))</f>
        <v>27.353130745782881</v>
      </c>
      <c r="O14" t="s">
        <v>2235</v>
      </c>
      <c r="P14" t="s">
        <v>2236</v>
      </c>
      <c r="AF14" s="109">
        <f>IFERROR(IF($AO14="","",IF(Dashboard!$B$2="Metric",$AO14,IF($AO14&lt;25.4,"~"&amp;ROUND($AO14/25.4,1)&amp;" in ("&amp;$AO14&amp;" mm)","~"&amp;ROUND($AO14/25.4,0)&amp;" in ("&amp;$AO14&amp;" mm)"))),"")</f>
        <v>0</v>
      </c>
      <c r="AG14">
        <v>800</v>
      </c>
      <c r="AI14">
        <v>400</v>
      </c>
      <c r="AL14">
        <v>300</v>
      </c>
      <c r="AM14">
        <v>800</v>
      </c>
      <c r="AO14" s="109">
        <f>IFERROR(IF(Dashboard!$B$6="Measured Acoustic Velocity",IF(Dashboard!$B$8="Ductile iron",INDEX($AM$2:$AM$40,ROW()-1),IF(Dashboard!$B$8="Grey cast iron",INDEX($AN$2:$AN$40,ROW()-1),IF(Dashboard!$B$8="Carbon steel",INDEX($BD$2:$BD$40,ROW()-1),""))),INDEX($BB$2:$BM$40,ROW()-1,MATCH(Dashboard!$B$8,$BB$1:$BM$1,0))),"")</f>
        <v>0</v>
      </c>
      <c r="AV14">
        <v>800</v>
      </c>
      <c r="AW14">
        <v>300</v>
      </c>
      <c r="AX14">
        <v>300</v>
      </c>
      <c r="AY14">
        <v>900</v>
      </c>
      <c r="AZ14">
        <v>1400</v>
      </c>
      <c r="BA14">
        <v>2000</v>
      </c>
      <c r="BB14">
        <v>800</v>
      </c>
      <c r="BD14">
        <v>400</v>
      </c>
      <c r="BG14">
        <v>300</v>
      </c>
      <c r="BH14">
        <v>800</v>
      </c>
      <c r="BI14">
        <v>300</v>
      </c>
      <c r="BJ14">
        <v>300</v>
      </c>
      <c r="BK14">
        <v>900</v>
      </c>
      <c r="BL14">
        <v>1400</v>
      </c>
      <c r="BM14">
        <v>2000</v>
      </c>
      <c r="CN14" s="109">
        <f>IF($B$143="INVALID","",IF(Dashboard!$B$2="Metric",'Failure Curve'!B14,'Failure Curve'!B14*'Unit Selection'!$E$7))</f>
        <v>92</v>
      </c>
      <c r="CO14" s="109">
        <f>IF($B$143="INVALID","",MAX(0.1,(('Assumptions &amp; Method'!$B$5*'Assumptions &amp; Method'!$B$6*CN14*'Assumptions &amp; Method'!$B$12)/1000000)*$B$5/(2*$F$2*$B$24*'Assumptions &amp; Method'!$B$13)))</f>
        <v>3.5289235463294508</v>
      </c>
      <c r="CP14" s="109">
        <f>IF($B$143="INVALID","",MAX(IFERROR(INDEX('Material Assumptions'!$E$2:$E$7,MATCH($B$3,'Material Assumptions'!$A$2:$A$7,0)),3),CO14,IF($B$129="Direct Wall Thickness / NDT",IF(ISNUMBER($B$131),$B$131*IFERROR(INDEX('Material Assumptions'!$D$2:$D$7,MATCH($B$3,'Material Assumptions'!$A$2:$A$7,0)),0.55),0),IF($B$129="Measured Acoustic Velocity",$B$121*IFERROR(INDEX('Material Assumptions'!$D$2:$D$7,MATCH($B$3,'Material Assumptions'!$A$2:$A$7,0)),0.55),0))))</f>
        <v>3.5289235463294508</v>
      </c>
      <c r="CQ14" s="109" t="str">
        <f t="shared" si="0"/>
        <v/>
      </c>
      <c r="CR14" s="109">
        <f t="shared" si="1"/>
        <v>34</v>
      </c>
      <c r="CS14" s="109">
        <f t="shared" si="2"/>
        <v>0</v>
      </c>
      <c r="CT14" s="109">
        <f t="shared" si="3"/>
        <v>0.65623332946635726</v>
      </c>
      <c r="CU14" s="109">
        <f>IF($B$143="INVALID","",IF($B$129="Measured Acoustic Velocity",'Assumptions &amp; Method'!$F$36+'Assumptions &amp; Method'!$F$37*(1-CS14)+'Assumptions &amp; Method'!$F$38*(1-$L$18)+'Assumptions &amp; Method'!$F$39*(1-$L$9)+$L$31,$L$24))</f>
        <v>0.48376667053364275</v>
      </c>
    </row>
    <row r="15" spans="1:99">
      <c r="A15" s="1" t="s">
        <v>2237</v>
      </c>
      <c r="B15" s="110">
        <f>IF(OR(NOT(ISNUMBER(Dashboard!$B$3)),Dashboard!$B$3&lt;=0,Dashboard!$B$3&gt;2958465),"",IF(NOT(ISNUMBER($B$2)),"",IF(OR($B$2&lt;&gt;INT($B$2),$B$2&lt;1800),"",IF($B$2&gt;YEAR(Dashboard!$B$3),"",YEAR(Dashboard!$B$3)-$B$2))))</f>
        <v>41</v>
      </c>
      <c r="C15" s="1"/>
      <c r="H15" t="s">
        <v>2238</v>
      </c>
      <c r="I15" s="109" t="str">
        <f>IF(OR($I$13="",$I$14=""),"",$I$14-$I$13)</f>
        <v/>
      </c>
      <c r="K15" t="s">
        <v>62</v>
      </c>
      <c r="L15" s="109">
        <f>$L$14-$L$13</f>
        <v>0</v>
      </c>
      <c r="O15" t="s">
        <v>2239</v>
      </c>
      <c r="P15" t="s">
        <v>2240</v>
      </c>
      <c r="AF15" s="109">
        <f>IFERROR(IF($AO15="","",IF(Dashboard!$B$2="Metric",$AO15,IF($AO15&lt;25.4,"~"&amp;ROUND($AO15/25.4,1)&amp;" in ("&amp;$AO15&amp;" mm)","~"&amp;ROUND($AO15/25.4,0)&amp;" in ("&amp;$AO15&amp;" mm)"))),"")</f>
        <v>0</v>
      </c>
      <c r="AG15">
        <v>900</v>
      </c>
      <c r="AI15">
        <v>450</v>
      </c>
      <c r="AL15">
        <v>350</v>
      </c>
      <c r="AM15">
        <v>900</v>
      </c>
      <c r="AO15" s="109">
        <f>IFERROR(IF(Dashboard!$B$6="Measured Acoustic Velocity",IF(Dashboard!$B$8="Ductile iron",INDEX($AM$2:$AM$40,ROW()-1),IF(Dashboard!$B$8="Grey cast iron",INDEX($AN$2:$AN$40,ROW()-1),IF(Dashboard!$B$8="Carbon steel",INDEX($BD$2:$BD$40,ROW()-1),""))),INDEX($BB$2:$BM$40,ROW()-1,MATCH(Dashboard!$B$8,$BB$1:$BM$1,0))),"")</f>
        <v>0</v>
      </c>
      <c r="AV15">
        <v>900</v>
      </c>
      <c r="AW15">
        <v>350</v>
      </c>
      <c r="AX15">
        <v>350</v>
      </c>
      <c r="AZ15">
        <v>1600</v>
      </c>
      <c r="BB15">
        <v>900</v>
      </c>
      <c r="BD15">
        <v>450</v>
      </c>
      <c r="BG15">
        <v>350</v>
      </c>
      <c r="BH15">
        <v>900</v>
      </c>
      <c r="BI15">
        <v>350</v>
      </c>
      <c r="BJ15">
        <v>350</v>
      </c>
      <c r="BL15">
        <v>1600</v>
      </c>
      <c r="CN15" s="109">
        <f>IF($B$143="INVALID","",IF(Dashboard!$B$2="Metric",'Failure Curve'!B15,'Failure Curve'!B15*'Unit Selection'!$E$7))</f>
        <v>102</v>
      </c>
      <c r="CO15" s="109">
        <f>IF($B$143="INVALID","",MAX(0.1,(('Assumptions &amp; Method'!$B$5*'Assumptions &amp; Method'!$B$6*CN15*'Assumptions &amp; Method'!$B$12)/1000000)*$B$5/(2*$F$2*$B$24*'Assumptions &amp; Method'!$B$13)))</f>
        <v>3.9125021926696086</v>
      </c>
      <c r="CP15" s="109">
        <f>IF($B$143="INVALID","",MAX(IFERROR(INDEX('Material Assumptions'!$E$2:$E$7,MATCH($B$3,'Material Assumptions'!$A$2:$A$7,0)),3),CO15,IF($B$129="Direct Wall Thickness / NDT",IF(ISNUMBER($B$131),$B$131*IFERROR(INDEX('Material Assumptions'!$D$2:$D$7,MATCH($B$3,'Material Assumptions'!$A$2:$A$7,0)),0.55),0),IF($B$129="Measured Acoustic Velocity",$B$121*IFERROR(INDEX('Material Assumptions'!$D$2:$D$7,MATCH($B$3,'Material Assumptions'!$A$2:$A$7,0)),0.55),0))))</f>
        <v>3.9125021926696086</v>
      </c>
      <c r="CQ15" s="109" t="str">
        <f t="shared" si="0"/>
        <v/>
      </c>
      <c r="CR15" s="109">
        <f t="shared" si="1"/>
        <v>34</v>
      </c>
      <c r="CS15" s="109">
        <f t="shared" si="2"/>
        <v>0</v>
      </c>
      <c r="CT15" s="109">
        <f t="shared" si="3"/>
        <v>0.65623332946635726</v>
      </c>
      <c r="CU15" s="109">
        <f>IF($B$143="INVALID","",IF($B$129="Measured Acoustic Velocity",'Assumptions &amp; Method'!$F$36+'Assumptions &amp; Method'!$F$37*(1-CS15)+'Assumptions &amp; Method'!$F$38*(1-$L$18)+'Assumptions &amp; Method'!$F$39*(1-$L$9)+$L$31,$L$24))</f>
        <v>0.48376667053364275</v>
      </c>
    </row>
    <row r="16" spans="1:99">
      <c r="A16" s="1" t="s">
        <v>2241</v>
      </c>
      <c r="B16" s="111">
        <f>IF($B$101&lt;&gt;"OK",0,SUMIFS('Velocity Reference'!$D$2:$D$400,'Velocity Reference'!$A$2:$A$400,$B$3,'Velocity Reference'!$B$2:$B$400,$B$103,'Velocity Reference'!$C$2:$C$400,$B$5))</f>
        <v>10.775</v>
      </c>
      <c r="C16" s="1"/>
      <c r="H16" t="s">
        <v>2242</v>
      </c>
      <c r="I16" s="109" t="str">
        <f>IF($I$2="Metallic","",IF($I$13&lt;='Assumptions &amp; Method'!$B$7,"RED",IF($I$13&lt;='Assumptions &amp; Method'!$B$8,"AMBER","GREEN")))</f>
        <v/>
      </c>
      <c r="K16" t="s">
        <v>2243</v>
      </c>
      <c r="L16" s="109">
        <f>$L$13-$L$8</f>
        <v>-6.646869254217119</v>
      </c>
      <c r="O16" t="s">
        <v>2244</v>
      </c>
      <c r="P16" t="s">
        <v>2245</v>
      </c>
      <c r="AF16" s="109">
        <f>IFERROR(IF($AO16="","",IF(Dashboard!$B$2="Metric",$AO16,IF($AO16&lt;25.4,"~"&amp;ROUND($AO16/25.4,1)&amp;" in ("&amp;$AO16&amp;" mm)","~"&amp;ROUND($AO16/25.4,0)&amp;" in ("&amp;$AO16&amp;" mm)"))),"")</f>
        <v>0</v>
      </c>
      <c r="AG16">
        <v>1000</v>
      </c>
      <c r="AI16">
        <v>500</v>
      </c>
      <c r="AL16">
        <v>400</v>
      </c>
      <c r="AM16">
        <v>1000</v>
      </c>
      <c r="AO16" s="109">
        <f>IFERROR(IF(Dashboard!$B$6="Measured Acoustic Velocity",IF(Dashboard!$B$8="Ductile iron",INDEX($AM$2:$AM$40,ROW()-1),IF(Dashboard!$B$8="Grey cast iron",INDEX($AN$2:$AN$40,ROW()-1),IF(Dashboard!$B$8="Carbon steel",INDEX($BD$2:$BD$40,ROW()-1),""))),INDEX($BB$2:$BM$40,ROW()-1,MATCH(Dashboard!$B$8,$BB$1:$BM$1,0))),"")</f>
        <v>0</v>
      </c>
      <c r="AV16">
        <v>1000</v>
      </c>
      <c r="AW16">
        <v>400</v>
      </c>
      <c r="AX16">
        <v>400</v>
      </c>
      <c r="AZ16">
        <v>1800</v>
      </c>
      <c r="BB16">
        <v>1000</v>
      </c>
      <c r="BD16">
        <v>500</v>
      </c>
      <c r="BG16">
        <v>400</v>
      </c>
      <c r="BH16">
        <v>1000</v>
      </c>
      <c r="BI16">
        <v>400</v>
      </c>
      <c r="BJ16">
        <v>400</v>
      </c>
      <c r="BL16">
        <v>1800</v>
      </c>
      <c r="CN16" s="109">
        <f>IF($B$143="INVALID","",IF(Dashboard!$B$2="Metric",'Failure Curve'!B16,'Failure Curve'!B16*'Unit Selection'!$E$7))</f>
        <v>112</v>
      </c>
      <c r="CO16" s="109">
        <f>IF($B$143="INVALID","",MAX(0.1,(('Assumptions &amp; Method'!$B$5*'Assumptions &amp; Method'!$B$6*CN16*'Assumptions &amp; Method'!$B$12)/1000000)*$B$5/(2*$F$2*$B$24*'Assumptions &amp; Method'!$B$13)))</f>
        <v>4.2960808390097656</v>
      </c>
      <c r="CP16" s="109">
        <f>IF($B$143="INVALID","",MAX(IFERROR(INDEX('Material Assumptions'!$E$2:$E$7,MATCH($B$3,'Material Assumptions'!$A$2:$A$7,0)),3),CO16,IF($B$129="Direct Wall Thickness / NDT",IF(ISNUMBER($B$131),$B$131*IFERROR(INDEX('Material Assumptions'!$D$2:$D$7,MATCH($B$3,'Material Assumptions'!$A$2:$A$7,0)),0.55),0),IF($B$129="Measured Acoustic Velocity",$B$121*IFERROR(INDEX('Material Assumptions'!$D$2:$D$7,MATCH($B$3,'Material Assumptions'!$A$2:$A$7,0)),0.55),0))))</f>
        <v>4.2960808390097656</v>
      </c>
      <c r="CQ16" s="109" t="str">
        <f t="shared" si="0"/>
        <v/>
      </c>
      <c r="CR16" s="109">
        <f t="shared" si="1"/>
        <v>34</v>
      </c>
      <c r="CS16" s="109">
        <f t="shared" si="2"/>
        <v>0</v>
      </c>
      <c r="CT16" s="109">
        <f t="shared" si="3"/>
        <v>0.65623332946635726</v>
      </c>
      <c r="CU16" s="109">
        <f>IF($B$143="INVALID","",IF($B$129="Measured Acoustic Velocity",'Assumptions &amp; Method'!$F$36+'Assumptions &amp; Method'!$F$37*(1-CS16)+'Assumptions &amp; Method'!$F$38*(1-$L$18)+'Assumptions &amp; Method'!$F$39*(1-$L$9)+$L$31,$L$24))</f>
        <v>0.48376667053364275</v>
      </c>
    </row>
    <row r="17" spans="1:64">
      <c r="A17" s="1" t="s">
        <v>2246</v>
      </c>
      <c r="B17" s="111">
        <f>IF($B$101&lt;&gt;"OK",0,SUMIFS('Velocity Reference'!$E$2:$E$400,'Velocity Reference'!$A$2:$A$400,$B$3,'Velocity Reference'!$B$2:$B$400,$B$103,'Velocity Reference'!$C$2:$C$400,$B$5))</f>
        <v>1.1984999999999999</v>
      </c>
      <c r="C17" s="1"/>
      <c r="H17" t="s">
        <v>2247</v>
      </c>
      <c r="I17" s="109" t="str">
        <f>IF($I$2="Metallic","",IF($I$14&lt;='Assumptions &amp; Method'!$B$7,"RED",IF($I$14&lt;='Assumptions &amp; Method'!$B$8,"AMBER","GREEN")))</f>
        <v/>
      </c>
      <c r="K17" t="s">
        <v>74</v>
      </c>
      <c r="L17" s="109">
        <f>$L$36</f>
        <v>0.72914814385150806</v>
      </c>
      <c r="O17" t="s">
        <v>2248</v>
      </c>
      <c r="P17" t="s">
        <v>2249</v>
      </c>
      <c r="AF17" s="109">
        <f>IFERROR(IF($AO17="","",IF(Dashboard!$B$2="Metric",$AO17,IF($AO17&lt;25.4,"~"&amp;ROUND($AO17/25.4,1)&amp;" in ("&amp;$AO17&amp;" mm)","~"&amp;ROUND($AO17/25.4,0)&amp;" in ("&amp;$AO17&amp;" mm)"))),"")</f>
        <v>0</v>
      </c>
      <c r="AG17">
        <v>1100</v>
      </c>
      <c r="AI17">
        <v>550</v>
      </c>
      <c r="AL17">
        <v>450</v>
      </c>
      <c r="AM17">
        <v>1100</v>
      </c>
      <c r="AO17" s="109">
        <f>IFERROR(IF(Dashboard!$B$6="Measured Acoustic Velocity",IF(Dashboard!$B$8="Ductile iron",INDEX($AM$2:$AM$40,ROW()-1),IF(Dashboard!$B$8="Grey cast iron",INDEX($AN$2:$AN$40,ROW()-1),IF(Dashboard!$B$8="Carbon steel",INDEX($BD$2:$BD$40,ROW()-1),""))),INDEX($BB$2:$BM$40,ROW()-1,MATCH(Dashboard!$B$8,$BB$1:$BM$1,0))),"")</f>
        <v>0</v>
      </c>
      <c r="AV17">
        <v>1200</v>
      </c>
      <c r="AW17">
        <v>450</v>
      </c>
      <c r="AX17">
        <v>450</v>
      </c>
      <c r="AZ17">
        <v>2000</v>
      </c>
      <c r="BB17">
        <v>1100</v>
      </c>
      <c r="BD17">
        <v>550</v>
      </c>
      <c r="BG17">
        <v>450</v>
      </c>
      <c r="BH17">
        <v>1200</v>
      </c>
      <c r="BI17">
        <v>450</v>
      </c>
      <c r="BJ17">
        <v>450</v>
      </c>
      <c r="BL17">
        <v>2000</v>
      </c>
    </row>
    <row r="18" spans="1:64">
      <c r="A18" s="1" t="s">
        <v>2250</v>
      </c>
      <c r="B18" s="111">
        <f>IF(AND($B$129="Direct Wall Thickness / NDT",$B$7&gt;0),$B$7,IF(AND($B$129="Measured Acoustic Velocity",$B$78="YES"),$B$76,MAX(0.1,$B$16-$B$15*$F$3*$F$6)))</f>
        <v>9.7294999999999998</v>
      </c>
      <c r="C18" s="1"/>
      <c r="H18" t="s">
        <v>74</v>
      </c>
      <c r="I18" s="109">
        <f>IF($B$13="Good / confirmed",1,IF($B$13="Moderate",0.92,IF($B$13="Poor",0.8,IF($B$13="Very poor",0.65,1))))</f>
        <v>1</v>
      </c>
      <c r="K18" t="s">
        <v>2251</v>
      </c>
      <c r="L18" s="109">
        <f>IF($B$38="Good",'Assumptions &amp; Method'!$F$25,IF($B$38="Average",'Assumptions &amp; Method'!$F$26,IF($B$38="Poor",'Assumptions &amp; Method'!$F$27,IF($B$38="Unknown - Average",'Assumptions &amp; Method'!$F$28,IF($B$38="Unknown - Worst Case",'Assumptions &amp; Method'!$F$29,'Assumptions &amp; Method'!$F$28)))))</f>
        <v>1</v>
      </c>
      <c r="O18" t="s">
        <v>2252</v>
      </c>
      <c r="P18" t="s">
        <v>2253</v>
      </c>
      <c r="AF18" s="109">
        <f>IFERROR(IF($AO18="","",IF(Dashboard!$B$2="Metric",$AO18,IF($AO18&lt;25.4,"~"&amp;ROUND($AO18/25.4,1)&amp;" in ("&amp;$AO18&amp;" mm)","~"&amp;ROUND($AO18/25.4,0)&amp;" in ("&amp;$AO18&amp;" mm)"))),"")</f>
        <v>0</v>
      </c>
      <c r="AG18">
        <v>1200</v>
      </c>
      <c r="AI18">
        <v>600</v>
      </c>
      <c r="AL18">
        <v>500</v>
      </c>
      <c r="AM18">
        <v>1200</v>
      </c>
      <c r="AO18" s="109">
        <f>IFERROR(IF(Dashboard!$B$6="Measured Acoustic Velocity",IF(Dashboard!$B$8="Ductile iron",INDEX($AM$2:$AM$40,ROW()-1),IF(Dashboard!$B$8="Grey cast iron",INDEX($AN$2:$AN$40,ROW()-1),IF(Dashboard!$B$8="Carbon steel",INDEX($BD$2:$BD$40,ROW()-1),""))),INDEX($BB$2:$BM$40,ROW()-1,MATCH(Dashboard!$B$8,$BB$1:$BM$1,0))),"")</f>
        <v>0</v>
      </c>
      <c r="AV18">
        <v>1400</v>
      </c>
      <c r="AW18">
        <v>500</v>
      </c>
      <c r="AX18">
        <v>500</v>
      </c>
      <c r="BB18">
        <v>1200</v>
      </c>
      <c r="BD18">
        <v>600</v>
      </c>
      <c r="BG18">
        <v>500</v>
      </c>
      <c r="BH18">
        <v>1400</v>
      </c>
      <c r="BI18">
        <v>500</v>
      </c>
      <c r="BJ18">
        <v>500</v>
      </c>
    </row>
    <row r="19" spans="1:64" ht="27.4" customHeight="1">
      <c r="A19" s="1" t="s">
        <v>2254</v>
      </c>
      <c r="B19" s="111">
        <f>IF(AND($B$129="Direct Wall Thickness / NDT",$B$7&gt;0),$B$18,MAX(0.1,$B$18*(1-$F$5)))</f>
        <v>8.2700750000000003</v>
      </c>
      <c r="C19" s="108" t="str">
        <f>IF($B$129="Direct Wall Thickness / NDT","Direct Wall/NDT: actual governing measured wall used as entered; no generic pitting deduction. Engineer is expected to measure/consider the lowest relevant pitting location. Engineering/Acoustic routes retain the model pitting allowance.","Engineering/Acoustic: wall after model pitting allowance")</f>
        <v>Engineering/Acoustic: wall after model pitting allowance</v>
      </c>
      <c r="H19" t="s">
        <v>78</v>
      </c>
      <c r="I19" s="109">
        <f>'Calc Engine'!L30</f>
        <v>0.9</v>
      </c>
      <c r="K19" t="s">
        <v>2255</v>
      </c>
      <c r="L19" s="109">
        <f>$L$17*$L$18</f>
        <v>0.72914814385150806</v>
      </c>
      <c r="O19" t="s">
        <v>2256</v>
      </c>
      <c r="P19" t="s">
        <v>2257</v>
      </c>
      <c r="AF19" s="109">
        <f>IFERROR(IF($AO19="","",IF(Dashboard!$B$2="Metric",$AO19,IF($AO19&lt;25.4,"~"&amp;ROUND($AO19/25.4,1)&amp;" in ("&amp;$AO19&amp;" mm)","~"&amp;ROUND($AO19/25.4,0)&amp;" in ("&amp;$AO19&amp;" mm)"))),"")</f>
        <v>0</v>
      </c>
      <c r="AG19">
        <v>1400</v>
      </c>
      <c r="AI19">
        <v>650</v>
      </c>
      <c r="AL19">
        <v>600</v>
      </c>
      <c r="AM19">
        <v>1400</v>
      </c>
      <c r="AO19" s="109">
        <f>IFERROR(IF(Dashboard!$B$6="Measured Acoustic Velocity",IF(Dashboard!$B$8="Ductile iron",INDEX($AM$2:$AM$40,ROW()-1),IF(Dashboard!$B$8="Grey cast iron",INDEX($AN$2:$AN$40,ROW()-1),IF(Dashboard!$B$8="Carbon steel",INDEX($BD$2:$BD$40,ROW()-1),""))),INDEX($BB$2:$BM$40,ROW()-1,MATCH(Dashboard!$B$8,$BB$1:$BM$1,0))),"")</f>
        <v>0</v>
      </c>
      <c r="AV19">
        <v>1500</v>
      </c>
      <c r="AW19">
        <v>600</v>
      </c>
      <c r="AX19">
        <v>600</v>
      </c>
      <c r="BB19">
        <v>1400</v>
      </c>
      <c r="BD19">
        <v>650</v>
      </c>
      <c r="BG19">
        <v>600</v>
      </c>
      <c r="BH19">
        <v>1500</v>
      </c>
      <c r="BI19">
        <v>600</v>
      </c>
      <c r="BJ19">
        <v>600</v>
      </c>
    </row>
    <row r="20" spans="1:64">
      <c r="A20" s="1" t="s">
        <v>2258</v>
      </c>
      <c r="B20" s="111">
        <f>MAX(0,$B$16-$B$18)</f>
        <v>1.0455000000000005</v>
      </c>
      <c r="C20" s="1"/>
      <c r="K20" t="s">
        <v>2259</v>
      </c>
      <c r="L20" s="109">
        <f>$B$16</f>
        <v>10.775</v>
      </c>
      <c r="O20" t="s">
        <v>2260</v>
      </c>
      <c r="P20" t="s">
        <v>2261</v>
      </c>
      <c r="AF20" s="109">
        <f>IFERROR(IF($AO20="","",IF(Dashboard!$B$2="Metric",$AO20,IF($AO20&lt;25.4,"~"&amp;ROUND($AO20/25.4,1)&amp;" in ("&amp;$AO20&amp;" mm)","~"&amp;ROUND($AO20/25.4,0)&amp;" in ("&amp;$AO20&amp;" mm)"))),"")</f>
        <v>0</v>
      </c>
      <c r="AG20">
        <v>1600</v>
      </c>
      <c r="AI20">
        <v>700</v>
      </c>
      <c r="AL20">
        <v>700</v>
      </c>
      <c r="AM20">
        <v>1600</v>
      </c>
      <c r="AO20" s="109">
        <f>IFERROR(IF(Dashboard!$B$6="Measured Acoustic Velocity",IF(Dashboard!$B$8="Ductile iron",INDEX($AM$2:$AM$40,ROW()-1),IF(Dashboard!$B$8="Grey cast iron",INDEX($AN$2:$AN$40,ROW()-1),IF(Dashboard!$B$8="Carbon steel",INDEX($BD$2:$BD$40,ROW()-1),""))),INDEX($BB$2:$BM$40,ROW()-1,MATCH(Dashboard!$B$8,$BB$1:$BM$1,0))),"")</f>
        <v>0</v>
      </c>
      <c r="AW20">
        <v>700</v>
      </c>
      <c r="AX20">
        <v>700</v>
      </c>
      <c r="BB20">
        <v>1600</v>
      </c>
      <c r="BD20">
        <v>700</v>
      </c>
      <c r="BG20">
        <v>700</v>
      </c>
      <c r="BI20">
        <v>700</v>
      </c>
      <c r="BJ20">
        <v>700</v>
      </c>
    </row>
    <row r="21" spans="1:64">
      <c r="A21" s="1" t="s">
        <v>2262</v>
      </c>
      <c r="B21" s="111">
        <f>MAX($F$3*$F$6,IF($B$15&gt;0,$B$20/$B$15,0))</f>
        <v>2.5500000000000012E-2</v>
      </c>
      <c r="C21" s="1"/>
      <c r="K21" t="s">
        <v>2263</v>
      </c>
      <c r="L21" s="109" t="str">
        <f>IF($B$4="Select","Material/diameter fallback until category is selected","Material + diameter + selected class/reference table; age reduces estimated remaining wall")</f>
        <v>Material + diameter + selected class/reference table; age reduces estimated remaining wall</v>
      </c>
      <c r="O21" t="s">
        <v>2264</v>
      </c>
      <c r="P21" t="s">
        <v>2265</v>
      </c>
      <c r="AF21" s="109">
        <f>IFERROR(IF($AO21="","",IF(Dashboard!$B$2="Metric",$AO21,IF($AO21&lt;25.4,"~"&amp;ROUND($AO21/25.4,1)&amp;" in ("&amp;$AO21&amp;" mm)","~"&amp;ROUND($AO21/25.4,0)&amp;" in ("&amp;$AO21&amp;" mm)"))),"")</f>
        <v>0</v>
      </c>
      <c r="AI21">
        <v>750</v>
      </c>
      <c r="AL21">
        <v>800</v>
      </c>
      <c r="AO21" s="109">
        <f>IFERROR(IF(Dashboard!$B$6="Measured Acoustic Velocity",IF(Dashboard!$B$8="Ductile iron",INDEX($AM$2:$AM$40,ROW()-1),IF(Dashboard!$B$8="Grey cast iron",INDEX($AN$2:$AN$40,ROW()-1),IF(Dashboard!$B$8="Carbon steel",INDEX($BD$2:$BD$40,ROW()-1),""))),INDEX($BB$2:$BM$40,ROW()-1,MATCH(Dashboard!$B$8,$BB$1:$BM$1,0))),"")</f>
        <v>0</v>
      </c>
      <c r="AW21">
        <v>800</v>
      </c>
      <c r="AX21">
        <v>800</v>
      </c>
      <c r="BD21">
        <v>750</v>
      </c>
      <c r="BG21">
        <v>800</v>
      </c>
      <c r="BI21">
        <v>800</v>
      </c>
      <c r="BJ21">
        <v>800</v>
      </c>
    </row>
    <row r="22" spans="1:64">
      <c r="A22" s="1" t="s">
        <v>2266</v>
      </c>
      <c r="B22" s="112">
        <f>IF($B$15&lt;=30,1,IF($B$15&lt;=50,0.95,IF($B$15&lt;=70,0.88,IF($B$15&lt;=90,0.78,0.68))))</f>
        <v>0.95</v>
      </c>
      <c r="C22" s="1"/>
      <c r="K22" t="s">
        <v>2267</v>
      </c>
      <c r="L22" s="109">
        <f>IF($B$108="Intermittent supply",MIN(0.98,IF($B$37="Low",'Assumptions &amp; Method'!$F$47,IF($B$37="Moderate",'Assumptions &amp; Method'!$F$48,IF($B$37="High",'Assumptions &amp; Method'!$F$49,IF($B$37="Severe",'Assumptions &amp; Method'!$F$50,IF($B$37="Unknown - Average",'Assumptions &amp; Method'!$F$51,IF($B$37="Unknown - Worst Case",'Assumptions &amp; Method'!$F$52,'Assumptions &amp; Method'!$F$51))))))),IF($B$37="Low",'Assumptions &amp; Method'!$F$47,IF($B$37="Moderate",'Assumptions &amp; Method'!$F$48,IF($B$37="High",'Assumptions &amp; Method'!$F$49,IF($B$37="Severe",'Assumptions &amp; Method'!$F$50,IF($B$37="Unknown - Average",'Assumptions &amp; Method'!$F$51,IF($B$37="Unknown - Worst Case",'Assumptions &amp; Method'!$F$52,'Assumptions &amp; Method'!$F$51)))))))</f>
        <v>1</v>
      </c>
      <c r="O22" t="s">
        <v>2268</v>
      </c>
      <c r="P22" t="s">
        <v>2269</v>
      </c>
      <c r="AF22" s="109">
        <f>IFERROR(IF($AO22="","",IF(Dashboard!$B$2="Metric",$AO22,IF($AO22&lt;25.4,"~"&amp;ROUND($AO22/25.4,1)&amp;" in ("&amp;$AO22&amp;" mm)","~"&amp;ROUND($AO22/25.4,0)&amp;" in ("&amp;$AO22&amp;" mm)"))),"")</f>
        <v>0</v>
      </c>
      <c r="AI22">
        <v>800</v>
      </c>
      <c r="AL22">
        <v>900</v>
      </c>
      <c r="AO22" s="109">
        <f>IFERROR(IF(Dashboard!$B$6="Measured Acoustic Velocity",IF(Dashboard!$B$8="Ductile iron",INDEX($AM$2:$AM$40,ROW()-1),IF(Dashboard!$B$8="Grey cast iron",INDEX($AN$2:$AN$40,ROW()-1),IF(Dashboard!$B$8="Carbon steel",INDEX($BD$2:$BD$40,ROW()-1),""))),INDEX($BB$2:$BM$40,ROW()-1,MATCH(Dashboard!$B$8,$BB$1:$BM$1,0))),"")</f>
        <v>0</v>
      </c>
      <c r="AW22">
        <v>900</v>
      </c>
      <c r="AX22">
        <v>900</v>
      </c>
      <c r="BD22">
        <v>800</v>
      </c>
      <c r="BG22">
        <v>900</v>
      </c>
      <c r="BI22">
        <v>900</v>
      </c>
      <c r="BJ22">
        <v>900</v>
      </c>
    </row>
    <row r="23" spans="1:64">
      <c r="A23" s="1" t="s">
        <v>2270</v>
      </c>
      <c r="B23" s="112">
        <f>IF($B$16&lt;=0,1,MAX(0.55,MIN(1,$B$19/$B$16)))</f>
        <v>0.7675243619489559</v>
      </c>
      <c r="C23" s="1"/>
      <c r="K23" t="s">
        <v>2271</v>
      </c>
      <c r="L23" s="109">
        <f>IF($B$37="Low",'Assumptions &amp; Method'!$G$47,IF($B$37="Moderate",'Assumptions &amp; Method'!$G$48,IF($B$37="High",'Assumptions &amp; Method'!$G$49,IF($B$37="Severe",'Assumptions &amp; Method'!$G$50,IF($B$37="Unknown - Average",'Assumptions &amp; Method'!$G$51,IF($B$37="Unknown - Worst Case",'Assumptions &amp; Method'!$G$52,'Assumptions &amp; Method'!$G$51))))))</f>
        <v>0</v>
      </c>
      <c r="O23" t="s">
        <v>2272</v>
      </c>
      <c r="P23" t="s">
        <v>2273</v>
      </c>
      <c r="AF23" s="109">
        <f>IFERROR(IF($AO23="","",IF(Dashboard!$B$2="Metric",$AO23,IF($AO23&lt;25.4,"~"&amp;ROUND($AO23/25.4,1)&amp;" in ("&amp;$AO23&amp;" mm)","~"&amp;ROUND($AO23/25.4,0)&amp;" in ("&amp;$AO23&amp;" mm)"))),"")</f>
        <v>0</v>
      </c>
      <c r="AI23">
        <v>850</v>
      </c>
      <c r="AL23">
        <v>1000</v>
      </c>
      <c r="AO23" s="109">
        <f>IFERROR(IF(Dashboard!$B$6="Measured Acoustic Velocity",IF(Dashboard!$B$8="Ductile iron",INDEX($AM$2:$AM$40,ROW()-1),IF(Dashboard!$B$8="Grey cast iron",INDEX($AN$2:$AN$40,ROW()-1),IF(Dashboard!$B$8="Carbon steel",INDEX($BD$2:$BD$40,ROW()-1),""))),INDEX($BB$2:$BM$40,ROW()-1,MATCH(Dashboard!$B$8,$BB$1:$BM$1,0))),"")</f>
        <v>0</v>
      </c>
      <c r="AW23">
        <v>1000</v>
      </c>
      <c r="AX23">
        <v>1000</v>
      </c>
      <c r="BD23">
        <v>850</v>
      </c>
      <c r="BG23">
        <v>1000</v>
      </c>
      <c r="BI23">
        <v>1000</v>
      </c>
      <c r="BJ23">
        <v>1000</v>
      </c>
    </row>
    <row r="24" spans="1:64" ht="164.1" customHeight="1">
      <c r="A24" s="1" t="s">
        <v>2274</v>
      </c>
      <c r="B24" s="112">
        <f>IF($B$129&lt;&gt;"Engineering Best-Practice Assessment",1,IF($B$13="Good / confirmed",1,IF($B$13="Moderate",0.85,IF($B$13="Poor",0.7,IF($B$13="Very poor",0.55,MAX(0.55,MIN(1,$B$22*$B$23/IF($F$6&lt;1,1,1+0.12*($F$6-1)))))))))</f>
        <v>0.72914814385150806</v>
      </c>
      <c r="C24" s="1" t="s">
        <v>2275</v>
      </c>
      <c r="K24" t="s">
        <v>2276</v>
      </c>
      <c r="L24" s="109">
        <f>'Assumptions &amp; Method'!$F$36+'Assumptions &amp; Method'!$F$37*(1-$L$17)+'Assumptions &amp; Method'!$F$38*(1-$L$18)+'Assumptions &amp; Method'!$F$39*(1-$L$9)+$L$31</f>
        <v>0.48376667053364275</v>
      </c>
      <c r="O24" t="s">
        <v>2277</v>
      </c>
      <c r="P24" t="s">
        <v>2278</v>
      </c>
      <c r="AF24" s="109">
        <f>IFERROR(IF($AO24="","",IF(Dashboard!$B$2="Metric",$AO24,IF($AO24&lt;25.4,"~"&amp;ROUND($AO24/25.4,1)&amp;" in ("&amp;$AO24&amp;" mm)","~"&amp;ROUND($AO24/25.4,0)&amp;" in ("&amp;$AO24&amp;" mm)"))),"")</f>
        <v>0</v>
      </c>
      <c r="AI24">
        <v>900</v>
      </c>
      <c r="AL24">
        <v>1200</v>
      </c>
      <c r="AO24" s="109">
        <f>IFERROR(IF(Dashboard!$B$6="Measured Acoustic Velocity",IF(Dashboard!$B$8="Ductile iron",INDEX($AM$2:$AM$40,ROW()-1),IF(Dashboard!$B$8="Grey cast iron",INDEX($AN$2:$AN$40,ROW()-1),IF(Dashboard!$B$8="Carbon steel",INDEX($BD$2:$BD$40,ROW()-1),""))),INDEX($BB$2:$BM$40,ROW()-1,MATCH(Dashboard!$B$8,$BB$1:$BM$1,0))),"")</f>
        <v>0</v>
      </c>
      <c r="AW24">
        <v>1200</v>
      </c>
      <c r="AX24">
        <v>1200</v>
      </c>
      <c r="BD24">
        <v>900</v>
      </c>
      <c r="BG24">
        <v>1200</v>
      </c>
      <c r="BI24">
        <v>1200</v>
      </c>
      <c r="BJ24">
        <v>1200</v>
      </c>
    </row>
    <row r="25" spans="1:64">
      <c r="A25" s="1" t="s">
        <v>2279</v>
      </c>
      <c r="B25" s="111">
        <f>MAX(0,$B$8+$B$12)</f>
        <v>22</v>
      </c>
      <c r="C25" s="1"/>
      <c r="K25" t="s">
        <v>2280</v>
      </c>
      <c r="L25" s="109">
        <f>EXP(-($L$24-IF($B$25&lt;'Assumptions &amp; Method'!$F$35,$L$31,0))*(($B$25/'Assumptions &amp; Method'!$F$35)-1))</f>
        <v>1.2259417639125665</v>
      </c>
      <c r="O25" t="s">
        <v>2281</v>
      </c>
      <c r="P25" t="s">
        <v>2282</v>
      </c>
      <c r="AF25" s="109">
        <f>IFERROR(IF($AO25="","",IF(Dashboard!$B$2="Metric",$AO25,IF($AO25&lt;25.4,"~"&amp;ROUND($AO25/25.4,1)&amp;" in ("&amp;$AO25&amp;" mm)","~"&amp;ROUND($AO25/25.4,0)&amp;" in ("&amp;$AO25&amp;" mm)"))),"")</f>
        <v>0</v>
      </c>
      <c r="AI25">
        <v>1000</v>
      </c>
      <c r="AL25">
        <v>1400</v>
      </c>
      <c r="AO25" s="109">
        <f>IFERROR(IF(Dashboard!$B$6="Measured Acoustic Velocity",IF(Dashboard!$B$8="Ductile iron",INDEX($AM$2:$AM$40,ROW()-1),IF(Dashboard!$B$8="Grey cast iron",INDEX($AN$2:$AN$40,ROW()-1),IF(Dashboard!$B$8="Carbon steel",INDEX($BD$2:$BD$40,ROW()-1),""))),INDEX($BB$2:$BM$40,ROW()-1,MATCH(Dashboard!$B$8,$BB$1:$BM$1,0))),"")</f>
        <v>0</v>
      </c>
      <c r="AW25">
        <v>1400</v>
      </c>
      <c r="AX25">
        <v>1400</v>
      </c>
      <c r="BD25">
        <v>1000</v>
      </c>
      <c r="BG25">
        <v>1400</v>
      </c>
      <c r="BI25">
        <v>1400</v>
      </c>
      <c r="BJ25">
        <v>1400</v>
      </c>
    </row>
    <row r="26" spans="1:64">
      <c r="A26" s="1" t="s">
        <v>2283</v>
      </c>
      <c r="B26" s="111">
        <f>MAX(0,$B$9+$B$12)</f>
        <v>22</v>
      </c>
      <c r="C26" s="1"/>
      <c r="K26" t="s">
        <v>2284</v>
      </c>
      <c r="L26" s="109">
        <f>EXP(-($L$40-IF($B$26&lt;'Assumptions &amp; Method'!$F$35,$L$31,0))*(($B$26/'Assumptions &amp; Method'!$F$35)-1))</f>
        <v>1.2259417639125665</v>
      </c>
      <c r="AF26" s="109">
        <f>IFERROR(IF($AO26="","",IF(Dashboard!$B$2="Metric",$AO26,IF($AO26&lt;25.4,"~"&amp;ROUND($AO26/25.4,1)&amp;" in ("&amp;$AO26&amp;" mm)","~"&amp;ROUND($AO26/25.4,0)&amp;" in ("&amp;$AO26&amp;" mm)"))),"")</f>
        <v>0</v>
      </c>
      <c r="AI26">
        <v>1200</v>
      </c>
      <c r="AL26">
        <v>1600</v>
      </c>
      <c r="AO26" s="109">
        <f>IFERROR(IF(Dashboard!$B$6="Measured Acoustic Velocity",IF(Dashboard!$B$8="Ductile iron",INDEX($AM$2:$AM$40,ROW()-1),IF(Dashboard!$B$8="Grey cast iron",INDEX($AN$2:$AN$40,ROW()-1),IF(Dashboard!$B$8="Carbon steel",INDEX($BD$2:$BD$40,ROW()-1),""))),INDEX($BB$2:$BM$40,ROW()-1,MATCH(Dashboard!$B$8,$BB$1:$BM$1,0))),"")</f>
        <v>0</v>
      </c>
      <c r="AW26">
        <v>1600</v>
      </c>
      <c r="AX26">
        <v>1600</v>
      </c>
      <c r="BD26">
        <v>1200</v>
      </c>
      <c r="BG26">
        <v>1600</v>
      </c>
      <c r="BI26">
        <v>1600</v>
      </c>
      <c r="BJ26">
        <v>1600</v>
      </c>
    </row>
    <row r="27" spans="1:64">
      <c r="A27" s="1" t="s">
        <v>2285</v>
      </c>
      <c r="B27" s="111">
        <f>MAX(0.1,((('Assumptions &amp; Method'!$B$5*'Assumptions &amp; Method'!$B$6*$B$25*'Assumptions &amp; Method'!$B$12)/1000000)*$B$5)/(2*($F$2*$B$24)*'Assumptions &amp; Method'!$B$13))</f>
        <v>0.8438730219483469</v>
      </c>
      <c r="C27" s="1"/>
      <c r="K27" t="s">
        <v>2286</v>
      </c>
      <c r="L27" s="109">
        <f>$L$9*$L$12*$L$22</f>
        <v>0.72914814385150806</v>
      </c>
      <c r="AF27" s="109">
        <f>IFERROR(IF($AO27="","",IF(Dashboard!$B$2="Metric",$AO27,IF($AO27&lt;25.4,"~"&amp;ROUND($AO27/25.4,1)&amp;" in ("&amp;$AO27&amp;" mm)","~"&amp;ROUND($AO27/25.4,0)&amp;" in ("&amp;$AO27&amp;" mm)"))),"")</f>
        <v>0</v>
      </c>
      <c r="AI27">
        <v>1400</v>
      </c>
      <c r="AL27">
        <v>1800</v>
      </c>
      <c r="AO27" s="109">
        <f>IFERROR(IF(Dashboard!$B$6="Measured Acoustic Velocity",IF(Dashboard!$B$8="Ductile iron",INDEX($AM$2:$AM$40,ROW()-1),IF(Dashboard!$B$8="Grey cast iron",INDEX($AN$2:$AN$40,ROW()-1),IF(Dashboard!$B$8="Carbon steel",INDEX($BD$2:$BD$40,ROW()-1),""))),INDEX($BB$2:$BM$40,ROW()-1,MATCH(Dashboard!$B$8,$BB$1:$BM$1,0))),"")</f>
        <v>0</v>
      </c>
      <c r="AW27">
        <v>1650</v>
      </c>
      <c r="AX27">
        <v>1800</v>
      </c>
      <c r="BD27">
        <v>1400</v>
      </c>
      <c r="BG27">
        <v>1800</v>
      </c>
      <c r="BI27">
        <v>1650</v>
      </c>
      <c r="BJ27">
        <v>1800</v>
      </c>
    </row>
    <row r="28" spans="1:64" ht="41.1" customHeight="1">
      <c r="A28" s="1" t="s">
        <v>2287</v>
      </c>
      <c r="B28" s="111">
        <f>IF(AND($B$7&lt;=0,$B$78&lt;&gt;"YES",$B$101&lt;&gt;"OK"),"",IF($B$21&lt;=0,"",MAX(0,($B$19-$B$27)/$B$21)))</f>
        <v>291.22360698241766</v>
      </c>
      <c r="C28" s="1" t="s">
        <v>2288</v>
      </c>
      <c r="K28" t="s">
        <v>2289</v>
      </c>
      <c r="L28" s="109">
        <f>MIN(100,MAX(0,100*POWER(1-MIN(1,$L$13/MAX(0.01,$L$2)),'Assumptions &amp; Method'!$F$41)))</f>
        <v>40.359540439617078</v>
      </c>
      <c r="AF28" s="109">
        <f>IFERROR(IF($AO28="","",IF(Dashboard!$B$2="Metric",$AO28,IF($AO28&lt;25.4,"~"&amp;ROUND($AO28/25.4,1)&amp;" in ("&amp;$AO28&amp;" mm)","~"&amp;ROUND($AO28/25.4,0)&amp;" in ("&amp;$AO28&amp;" mm)"))),"")</f>
        <v>0</v>
      </c>
      <c r="AI28">
        <v>1600</v>
      </c>
      <c r="AL28">
        <v>2000</v>
      </c>
      <c r="AO28" s="109">
        <f>IFERROR(IF(Dashboard!$B$6="Measured Acoustic Velocity",IF(Dashboard!$B$8="Ductile iron",INDEX($AM$2:$AM$40,ROW()-1),IF(Dashboard!$B$8="Grey cast iron",INDEX($AN$2:$AN$40,ROW()-1),IF(Dashboard!$B$8="Carbon steel",INDEX($BD$2:$BD$40,ROW()-1),""))),INDEX($BB$2:$BM$40,ROW()-1,MATCH(Dashboard!$B$8,$BB$1:$BM$1,0))),"")</f>
        <v>0</v>
      </c>
      <c r="AX28">
        <v>2000</v>
      </c>
      <c r="BD28">
        <v>1600</v>
      </c>
      <c r="BG28">
        <v>2000</v>
      </c>
      <c r="BJ28">
        <v>2000</v>
      </c>
    </row>
    <row r="29" spans="1:64">
      <c r="A29" s="1" t="s">
        <v>2290</v>
      </c>
      <c r="B29" s="111">
        <f>MAX(0.1,((('Assumptions &amp; Method'!$B$5*'Assumptions &amp; Method'!$B$6*$B$26*'Assumptions &amp; Method'!$B$12)/1000000)*$B$5)/(2*($F$2*$B$24)*'Assumptions &amp; Method'!$B$13))</f>
        <v>0.8438730219483469</v>
      </c>
      <c r="C29" s="1"/>
      <c r="K29" t="s">
        <v>2291</v>
      </c>
      <c r="L29" s="109">
        <f>MIN(100,MAX(0,100*POWER(1-MIN(1,$L$14/MAX(0.01,$L$2)),'Assumptions &amp; Method'!$F$41)))</f>
        <v>40.359540439617078</v>
      </c>
      <c r="AF29" s="109">
        <f>IFERROR(IF($AO29="","",IF(Dashboard!$B$2="Metric",$AO29,IF($AO29&lt;25.4,"~"&amp;ROUND($AO29/25.4,1)&amp;" in ("&amp;$AO29&amp;" mm)","~"&amp;ROUND($AO29/25.4,0)&amp;" in ("&amp;$AO29&amp;" mm)"))),"")</f>
        <v>0</v>
      </c>
      <c r="AI29">
        <v>1800</v>
      </c>
      <c r="AO29" s="109">
        <f>IFERROR(IF(Dashboard!$B$6="Measured Acoustic Velocity",IF(Dashboard!$B$8="Ductile iron",INDEX($AM$2:$AM$40,ROW()-1),IF(Dashboard!$B$8="Grey cast iron",INDEX($AN$2:$AN$40,ROW()-1),IF(Dashboard!$B$8="Carbon steel",INDEX($BD$2:$BD$40,ROW()-1),""))),INDEX($BB$2:$BM$40,ROW()-1,MATCH(Dashboard!$B$8,$BB$1:$BM$1,0))),"")</f>
        <v>0</v>
      </c>
      <c r="BD29">
        <v>1800</v>
      </c>
    </row>
    <row r="30" spans="1:64" ht="41.1" customHeight="1">
      <c r="A30" s="1" t="s">
        <v>2292</v>
      </c>
      <c r="B30" s="111">
        <f>IF(AND($B$7&lt;=0,$B$78&lt;&gt;"YES",$B$101&lt;&gt;"OK"),"",IF($B$21&lt;=0,"",MAX(0,($B$19-$B$29)/$B$21)))</f>
        <v>291.22360698241766</v>
      </c>
      <c r="C30" s="1" t="s">
        <v>2288</v>
      </c>
      <c r="K30" t="s">
        <v>78</v>
      </c>
      <c r="L30" s="109">
        <f>IF($B$47="Insufficient data",1,IF($B$47="Nil",'Assumptions &amp; Method'!$K$4,IF($B$47="Minimal",'Assumptions &amp; Method'!$K$5,IF($B$47="Average",'Assumptions &amp; Method'!$K$6,IF($B$47="Severe",$B$154,1)))))</f>
        <v>0.9</v>
      </c>
      <c r="AF30" s="109">
        <f>IFERROR(IF($AO30="","",IF(Dashboard!$B$2="Metric",$AO30,IF($AO30&lt;25.4,"~"&amp;ROUND($AO30/25.4,1)&amp;" in ("&amp;$AO30&amp;" mm)","~"&amp;ROUND($AO30/25.4,0)&amp;" in ("&amp;$AO30&amp;" mm)"))),"")</f>
        <v>0</v>
      </c>
      <c r="AI30">
        <v>2000</v>
      </c>
      <c r="AO30" s="109">
        <f>IFERROR(IF(Dashboard!$B$6="Measured Acoustic Velocity",IF(Dashboard!$B$8="Ductile iron",INDEX($AM$2:$AM$40,ROW()-1),IF(Dashboard!$B$8="Grey cast iron",INDEX($AN$2:$AN$40,ROW()-1),IF(Dashboard!$B$8="Carbon steel",INDEX($BD$2:$BD$40,ROW()-1),""))),INDEX($BB$2:$BM$40,ROW()-1,MATCH(Dashboard!$B$8,$BB$1:$BM$1,0))),"")</f>
        <v>0</v>
      </c>
      <c r="BD30">
        <v>2000</v>
      </c>
    </row>
    <row r="31" spans="1:64" ht="41.1" customHeight="1">
      <c r="A31" s="1" t="s">
        <v>2293</v>
      </c>
      <c r="B31" s="111">
        <f>IF(OR($B$28="",$B$30=""),"",$B$30-$B$28)</f>
        <v>0</v>
      </c>
      <c r="C31" s="1" t="s">
        <v>2288</v>
      </c>
      <c r="K31" t="s">
        <v>2294</v>
      </c>
      <c r="L31" s="109">
        <f>IF($B$47="Insufficient data",0,IF($B$47="Nil",'Assumptions &amp; Method'!$L$4,IF($B$47="Minimal",'Assumptions &amp; Method'!$L$5,IF($B$47="Average",'Assumptions &amp; Method'!$L$6,IF($B$47="Severe",'Assumptions &amp; Method'!$L$7,0)))))</f>
        <v>0.12</v>
      </c>
      <c r="AF31" s="109">
        <f>IFERROR(IF($AO31="","",IF(Dashboard!$B$2="Metric",$AO31,IF($AO31&lt;25.4,"~"&amp;ROUND($AO31/25.4,1)&amp;" in ("&amp;$AO31&amp;" mm)","~"&amp;ROUND($AO31/25.4,0)&amp;" in ("&amp;$AO31&amp;" mm)"))),"")</f>
        <v>0</v>
      </c>
      <c r="AI31">
        <v>2200</v>
      </c>
      <c r="AO31" s="109">
        <f>IFERROR(IF(Dashboard!$B$6="Measured Acoustic Velocity",IF(Dashboard!$B$8="Ductile iron",INDEX($AM$2:$AM$40,ROW()-1),IF(Dashboard!$B$8="Grey cast iron",INDEX($AN$2:$AN$40,ROW()-1),IF(Dashboard!$B$8="Carbon steel",INDEX($BD$2:$BD$40,ROW()-1),""))),INDEX($BB$2:$BM$40,ROW()-1,MATCH(Dashboard!$B$8,$BB$1:$BM$1,0))),"")</f>
        <v>0</v>
      </c>
      <c r="BD31">
        <v>2200</v>
      </c>
    </row>
    <row r="32" spans="1:64" ht="41.1" customHeight="1">
      <c r="A32" s="1" t="s">
        <v>2295</v>
      </c>
      <c r="B32" s="108" t="str">
        <f>IF($B$129="Direct Wall Thickness / NDT",IF($B$7&gt;0,"HIGH - selected direct measured wall controls condition assessment","NOT ASSESSED - Direct Wall/NDT selected but no usable wall measurement is entered"),IF($B$129="Measured Acoustic Velocity",IF($B$78="YES","MEDIUM/HIGH - selected plausible measured velocity controls equivalent wall condition and planning life","NOT ASSESSED - Measured Acoustic Velocity selected but the measurement/calibration is invalid"),"LOW-MEDIUM - Engineering Best-Practice Assessment using age, environment, pressure, condition and failure history"))</f>
        <v>LOW-MEDIUM - Engineering Best-Practice Assessment using age, environment, pressure, condition and failure history</v>
      </c>
      <c r="C32" s="1" t="s">
        <v>2296</v>
      </c>
      <c r="K32" t="s">
        <v>2296</v>
      </c>
      <c r="L32" s="109">
        <f>$B$45</f>
        <v>20</v>
      </c>
      <c r="AF32" s="109">
        <f>IFERROR(IF($AO32="","",IF(Dashboard!$B$2="Metric",$AO32,IF($AO32&lt;25.4,"~"&amp;ROUND($AO32/25.4,1)&amp;" in ("&amp;$AO32&amp;" mm)","~"&amp;ROUND($AO32/25.4,0)&amp;" in ("&amp;$AO32&amp;" mm)"))),"")</f>
        <v>0</v>
      </c>
      <c r="AO32" s="109">
        <f>IFERROR(IF(Dashboard!$B$6="Measured Acoustic Velocity",IF(Dashboard!$B$8="Ductile iron",INDEX($AM$2:$AM$40,ROW()-1),IF(Dashboard!$B$8="Grey cast iron",INDEX($AN$2:$AN$40,ROW()-1),IF(Dashboard!$B$8="Carbon steel",INDEX($BD$2:$BD$40,ROW()-1),""))),INDEX($BB$2:$BM$40,ROW()-1,MATCH(Dashboard!$B$8,$BB$1:$BM$1,0))),"")</f>
        <v>0</v>
      </c>
    </row>
    <row r="33" spans="1:41">
      <c r="A33" s="1" t="s">
        <v>2297</v>
      </c>
      <c r="B33" s="113">
        <f>IF($B$19&lt;=0,"",$B$27/$B$19)</f>
        <v>0.10203934328870619</v>
      </c>
      <c r="C33" s="1"/>
      <c r="K33" t="s">
        <v>2298</v>
      </c>
      <c r="L33" s="109">
        <f>$L$27*$L$30</f>
        <v>0.65623332946635726</v>
      </c>
      <c r="AF33" s="109">
        <f>IFERROR(IF($AO33="","",IF(Dashboard!$B$2="Metric",$AO33,IF($AO33&lt;25.4,"~"&amp;ROUND($AO33/25.4,1)&amp;" in ("&amp;$AO33&amp;" mm)","~"&amp;ROUND($AO33/25.4,0)&amp;" in ("&amp;$AO33&amp;" mm)"))),"")</f>
        <v>0</v>
      </c>
      <c r="AO33" s="109">
        <f>IFERROR(IF(Dashboard!$B$6="Measured Acoustic Velocity",IF(Dashboard!$B$8="Ductile iron",INDEX($AM$2:$AM$40,ROW()-1),IF(Dashboard!$B$8="Grey cast iron",INDEX($AN$2:$AN$40,ROW()-1),IF(Dashboard!$B$8="Carbon steel",INDEX($BD$2:$BD$40,ROW()-1),""))),INDEX($BB$2:$BM$40,ROW()-1,MATCH(Dashboard!$B$8,$BB$1:$BM$1,0))),"")</f>
        <v>0</v>
      </c>
    </row>
    <row r="34" spans="1:41">
      <c r="A34" s="1" t="s">
        <v>2299</v>
      </c>
      <c r="B34" s="113">
        <f>IF($B$19&lt;=0,"",$B$29/$B$19)</f>
        <v>0.10203934328870619</v>
      </c>
      <c r="C34" s="1"/>
      <c r="K34" t="s">
        <v>2300</v>
      </c>
      <c r="L34" s="109">
        <f>IF($B$13="Auto",$B$136,IF($B$13="Good / confirmed",'Assumptions &amp; Method'!$F$21*$B$23,IF($B$13="Moderate",'Assumptions &amp; Method'!$F$22*$B$23,IF($B$13="Poor",'Assumptions &amp; Method'!$F$23*$B$23,IF($B$13="Very poor",'Assumptions &amp; Method'!$F$24*$B$23,$B$136)))))</f>
        <v>0.72914814385150806</v>
      </c>
      <c r="AF34" s="109">
        <f>IFERROR(IF($AO34="","",IF(Dashboard!$B$2="Metric",$AO34,IF($AO34&lt;25.4,"~"&amp;ROUND($AO34/25.4,1)&amp;" in ("&amp;$AO34&amp;" mm)","~"&amp;ROUND($AO34/25.4,0)&amp;" in ("&amp;$AO34&amp;" mm)"))),"")</f>
        <v>0</v>
      </c>
      <c r="AO34" s="109">
        <f>IFERROR(IF(Dashboard!$B$6="Measured Acoustic Velocity",IF(Dashboard!$B$8="Ductile iron",INDEX($AM$2:$AM$40,ROW()-1),IF(Dashboard!$B$8="Grey cast iron",INDEX($AN$2:$AN$40,ROW()-1),IF(Dashboard!$B$8="Carbon steel",INDEX($BD$2:$BD$40,ROW()-1),""))),INDEX($BB$2:$BM$40,ROW()-1,MATCH(Dashboard!$B$8,$BB$1:$BM$1,0))),"")</f>
        <v>0</v>
      </c>
    </row>
    <row r="35" spans="1:41" ht="81.95" customHeight="1">
      <c r="A35" s="1" t="s">
        <v>70</v>
      </c>
      <c r="B35" s="108" t="str">
        <f>IF(AND($B$7&lt;=0,$B$78&lt;&gt;"YES",$B$101&lt;&gt;"OK"),"REFERENCE WALL NOT AVAILABLE — pressure/wall reserve diagnostic is not calculated. Use the headline planning-life assessment and obtain direct condition evidence where this diagnostic is material to the decision.",IF($B$28="","Review inputs before planning.",IF($B$28&lt;='Assumptions &amp; Method'!$B$7,"RED ACTION: Pressure/surge structural margin is low. Confirm wall thickness and defect severity with UT/NDT, review transients and prioritize rehabilitation.",IF($B$28&lt;='Assumptions &amp; Method'!$B$8,"AMBER ACTION: Reduced structural life. Validate condition and include in near-term rehabilitation planning.","GREEN ACTION: Structural margin is acceptable for screening purposes; continue monitoring and long-term renewal planning.")))&amp;IF($B$31&gt;0," The what-if pressure adds approximately "&amp;TEXT($B$31,"0.0")&amp;" years of modeled life.",IF($B$31&lt;0," The what-if pressure reduces modeled life by approximately "&amp;TEXT(ABS($B$31),"0.0")&amp;" years.","")))</f>
        <v>GREEN ACTION: Structural margin is acceptable for screening purposes; continue monitoring and long-term renewal planning.</v>
      </c>
      <c r="C35" s="1"/>
      <c r="K35" t="s">
        <v>2301</v>
      </c>
      <c r="L35" s="109">
        <f>IF($B$129="Direct Wall Thickness / NDT",IF($B$7&lt;=0,1,IF(AND(ISNUMBER($B$131),$B$131&gt;0),IFERROR($B$130,1),1)),IF($B$129="Measured Acoustic Velocity",IF($B$78="YES",$B$79,1),1))</f>
        <v>1</v>
      </c>
      <c r="AF35" s="109">
        <f>IFERROR(IF($AO35="","",IF(Dashboard!$B$2="Metric",$AO35,IF($AO35&lt;25.4,"~"&amp;ROUND($AO35/25.4,1)&amp;" in ("&amp;$AO35&amp;" mm)","~"&amp;ROUND($AO35/25.4,0)&amp;" in ("&amp;$AO35&amp;" mm)"))),"")</f>
        <v>0</v>
      </c>
      <c r="AO35" s="109">
        <f>IFERROR(IF(Dashboard!$B$6="Measured Acoustic Velocity",IF(Dashboard!$B$8="Ductile iron",INDEX($AM$2:$AM$40,ROW()-1),IF(Dashboard!$B$8="Grey cast iron",INDEX($AN$2:$AN$40,ROW()-1),IF(Dashboard!$B$8="Carbon steel",INDEX($BD$2:$BD$40,ROW()-1),""))),INDEX($BB$2:$BM$40,ROW()-1,MATCH(Dashboard!$B$8,$BB$1:$BM$1,0))),"")</f>
        <v>0</v>
      </c>
    </row>
    <row r="36" spans="1:41">
      <c r="A36" t="s">
        <v>40</v>
      </c>
      <c r="B36" s="109">
        <f>IF(NOT(ISNUMBER(Dashboard!B19)),"",IF(Dashboard!$B$2="Metric",Dashboard!B19,Dashboard!B19*'Unit Selection'!$E$7))</f>
        <v>100</v>
      </c>
      <c r="C36" t="s">
        <v>2302</v>
      </c>
      <c r="K36" t="s">
        <v>2303</v>
      </c>
      <c r="L36" s="109">
        <f>IF($B$129="Direct Wall Thickness / NDT",1,IF($B$129="Measured Acoustic Velocity",IF($B$78="YES",$L$35,1),$L$34))</f>
        <v>0.72914814385150806</v>
      </c>
      <c r="AF36" s="109">
        <f>IFERROR(IF($AO36="","",IF(Dashboard!$B$2="Metric",$AO36,IF($AO36&lt;25.4,"~"&amp;ROUND($AO36/25.4,1)&amp;" in ("&amp;$AO36&amp;" mm)","~"&amp;ROUND($AO36/25.4,0)&amp;" in ("&amp;$AO36&amp;" mm)"))),"")</f>
        <v>0</v>
      </c>
      <c r="AO36" s="109">
        <f>IFERROR(IF(Dashboard!$B$6="Measured Acoustic Velocity",IF(Dashboard!$B$8="Ductile iron",INDEX($AM$2:$AM$40,ROW()-1),IF(Dashboard!$B$8="Grey cast iron",INDEX($AN$2:$AN$40,ROW()-1),IF(Dashboard!$B$8="Carbon steel",INDEX($BD$2:$BD$40,ROW()-1),""))),INDEX($BB$2:$BM$40,ROW()-1,MATCH(Dashboard!$B$8,$BB$1:$BM$1,0))),"")</f>
        <v>0</v>
      </c>
    </row>
    <row r="37" spans="1:41">
      <c r="A37" t="s">
        <v>41</v>
      </c>
      <c r="B37" s="109" t="str">
        <f>Dashboard!B20</f>
        <v>Low</v>
      </c>
      <c r="K37" t="s">
        <v>2304</v>
      </c>
      <c r="L37" s="109">
        <f>IF(AND($B$129="Measured Acoustic Velocity",$B$78="YES"),MAX($L$8,$B$133),$L$8)</f>
        <v>34</v>
      </c>
      <c r="AF37" s="109">
        <f>IFERROR(IF($AO37="","",IF(Dashboard!$B$2="Metric",$AO37,IF($AO37&lt;25.4,"~"&amp;ROUND($AO37/25.4,1)&amp;" in ("&amp;$AO37&amp;" mm)","~"&amp;ROUND($AO37/25.4,0)&amp;" in ("&amp;$AO37&amp;" mm)"))),"")</f>
        <v>0</v>
      </c>
      <c r="AO37" s="109">
        <f>IFERROR(IF(Dashboard!$B$6="Measured Acoustic Velocity",IF(Dashboard!$B$8="Ductile iron",INDEX($AM$2:$AM$40,ROW()-1),IF(Dashboard!$B$8="Grey cast iron",INDEX($AN$2:$AN$40,ROW()-1),IF(Dashboard!$B$8="Carbon steel",INDEX($BD$2:$BD$40,ROW()-1),""))),INDEX($BB$2:$BM$40,ROW()-1,MATCH(Dashboard!$B$8,$BB$1:$BM$1,0))),"")</f>
        <v>0</v>
      </c>
    </row>
    <row r="38" spans="1:41">
      <c r="A38" t="s">
        <v>44</v>
      </c>
      <c r="B38" s="109" t="str">
        <f>Dashboard!B21</f>
        <v>Good</v>
      </c>
      <c r="K38" t="s">
        <v>2305</v>
      </c>
      <c r="L38" s="109">
        <f>IF(AND($B$129="Measured Acoustic Velocity",$B$78="YES",ISNUMBER($B$150),$B$121&gt;$B$150),MAX(0,MIN(1,($B$123-$B$150)/($B$121-$B$150))),0)</f>
        <v>0</v>
      </c>
      <c r="AF38" s="109">
        <f>IFERROR(IF($AO38="","",IF(Dashboard!$B$2="Metric",$AO38,IF($AO38&lt;25.4,"~"&amp;ROUND($AO38/25.4,1)&amp;" in ("&amp;$AO38&amp;" mm)","~"&amp;ROUND($AO38/25.4,0)&amp;" in ("&amp;$AO38&amp;" mm)"))),"")</f>
        <v>0</v>
      </c>
      <c r="AO38" s="109">
        <f>IFERROR(IF(Dashboard!$B$6="Measured Acoustic Velocity",IF(Dashboard!$B$8="Ductile iron",INDEX($AM$2:$AM$40,ROW()-1),IF(Dashboard!$B$8="Grey cast iron",INDEX($AN$2:$AN$40,ROW()-1),IF(Dashboard!$B$8="Carbon steel",INDEX($BD$2:$BD$40,ROW()-1),""))),INDEX($BB$2:$BM$40,ROW()-1,MATCH(Dashboard!$B$8,$BB$1:$BM$1,0))),"")</f>
        <v>0</v>
      </c>
    </row>
    <row r="39" spans="1:41">
      <c r="A39" t="s">
        <v>328</v>
      </c>
      <c r="B39" s="109" t="str">
        <f>Dashboard!B5</f>
        <v>Example — replace with asset location</v>
      </c>
      <c r="C39" t="s">
        <v>2306</v>
      </c>
      <c r="K39" t="s">
        <v>2307</v>
      </c>
      <c r="L39" s="109">
        <f>IF($B$129="Measured Acoustic Velocity",$L$9*$L$18*$L$22*$L$30*$L$38,$L$33)</f>
        <v>0.65623332946635726</v>
      </c>
      <c r="AF39" s="109">
        <f>IFERROR(IF($AO39="","",IF(Dashboard!$B$2="Metric",$AO39,IF($AO39&lt;25.4,"~"&amp;ROUND($AO39/25.4,1)&amp;" in ("&amp;$AO39&amp;" mm)","~"&amp;ROUND($AO39/25.4,0)&amp;" in ("&amp;$AO39&amp;" mm)"))),"")</f>
        <v>0</v>
      </c>
      <c r="AO39" s="109">
        <f>IFERROR(IF(Dashboard!$B$6="Measured Acoustic Velocity",IF(Dashboard!$B$8="Ductile iron",INDEX($AM$2:$AM$40,ROW()-1),IF(Dashboard!$B$8="Grey cast iron",INDEX($AN$2:$AN$40,ROW()-1),IF(Dashboard!$B$8="Carbon steel",INDEX($BD$2:$BD$40,ROW()-1),""))),INDEX($BB$2:$BM$40,ROW()-1,MATCH(Dashboard!$B$8,$BB$1:$BM$1,0))),"")</f>
        <v>0</v>
      </c>
    </row>
    <row r="40" spans="1:41">
      <c r="A40" t="s">
        <v>8</v>
      </c>
      <c r="B40" s="114">
        <f>Dashboard!B3</f>
        <v>46274</v>
      </c>
      <c r="C40" t="s">
        <v>2308</v>
      </c>
      <c r="K40" t="s">
        <v>2309</v>
      </c>
      <c r="L40" s="109">
        <f>IF($B$129="Measured Acoustic Velocity",'Assumptions &amp; Method'!$F$36+'Assumptions &amp; Method'!$F$37*(1-$L$38)+'Assumptions &amp; Method'!$F$38*(1-$L$18)+'Assumptions &amp; Method'!$F$39*(1-$L$9)+$L$31,$L$24)</f>
        <v>0.48376667053364275</v>
      </c>
      <c r="AF40" s="109">
        <f>IFERROR(IF($AO40="","",IF(Dashboard!$B$2="Metric",$AO40,IF($AO40&lt;25.4,"~"&amp;ROUND($AO40/25.4,1)&amp;" in ("&amp;$AO40&amp;" mm)","~"&amp;ROUND($AO40/25.4,0)&amp;" in ("&amp;$AO40&amp;" mm)"))),"")</f>
        <v>0</v>
      </c>
      <c r="AO40" s="109">
        <f>IFERROR(IF(Dashboard!$B$6="Measured Acoustic Velocity",IF(Dashboard!$B$8="Ductile iron",INDEX($AM$2:$AM$40,ROW()-1),IF(Dashboard!$B$8="Grey cast iron",INDEX($AN$2:$AN$40,ROW()-1),IF(Dashboard!$B$8="Carbon steel",INDEX($BD$2:$BD$40,ROW()-1),""))),INDEX($BB$2:$BM$40,ROW()-1,MATCH(Dashboard!$B$8,$BB$1:$BM$1,0))),"")</f>
        <v>0</v>
      </c>
    </row>
    <row r="41" spans="1:41">
      <c r="A41" t="s">
        <v>2310</v>
      </c>
      <c r="B41" s="109">
        <f>IF(NOT(ISNUMBER(Dashboard!B4)),"",IF(Dashboard!$B$2="Metric",Dashboard!B4*'Unit Selection'!$E$3,Dashboard!B4*'Unit Selection'!$E$4))</f>
        <v>5000</v>
      </c>
      <c r="C41" t="s">
        <v>2311</v>
      </c>
    </row>
    <row r="42" spans="1:41">
      <c r="A42" t="s">
        <v>47</v>
      </c>
      <c r="B42" s="109" t="str">
        <f>Dashboard!B22</f>
        <v>Auto from failure rate</v>
      </c>
      <c r="C42" t="s">
        <v>342</v>
      </c>
    </row>
    <row r="43" spans="1:41">
      <c r="A43" t="s">
        <v>50</v>
      </c>
      <c r="B43" s="109">
        <f>Dashboard!B23</f>
        <v>1</v>
      </c>
      <c r="C43" t="s">
        <v>2312</v>
      </c>
    </row>
    <row r="44" spans="1:41">
      <c r="A44" t="s">
        <v>2313</v>
      </c>
      <c r="B44" s="109">
        <f>Dashboard!B24</f>
        <v>1</v>
      </c>
      <c r="C44" t="s">
        <v>2314</v>
      </c>
    </row>
    <row r="45" spans="1:41">
      <c r="A45" t="s">
        <v>122</v>
      </c>
      <c r="B45" s="109">
        <f>IF(NOT(ISNUMBER(Dashboard!$B$23)),"",IF(NOT(ISNUMBER(Dashboard!$B$24)),"",IF(NOT(ISNUMBER($B$41)),"",IF(OR($B$43&lt;0,$B$43&lt;&gt;INT($B$43),$B$44&lt;=0,$B$41&lt;=0),"",$B$43/$B$44/$B$41*100000))))</f>
        <v>20</v>
      </c>
      <c r="C45" t="s">
        <v>2315</v>
      </c>
    </row>
    <row r="46" spans="1:41">
      <c r="A46" t="s">
        <v>2316</v>
      </c>
      <c r="B46" s="109" t="str">
        <f>IF(OR(NOT(ISNUMBER($B$43)),NOT(ISNUMBER($B$44)),$B$44&lt;=0,Dashboard!$B$4&lt;=0,NOT(ISNUMBER($B$45))),"Insufficient data",IF($B$43=0,"Nil",IF($B$45&lt;='Assumptions &amp; Method'!$K$13,"Minimal",IF($B$45&lt;='Assumptions &amp; Method'!$K$14,"Average","Severe"))))</f>
        <v>Average</v>
      </c>
      <c r="C46" t="s">
        <v>2317</v>
      </c>
    </row>
    <row r="47" spans="1:41">
      <c r="A47" t="s">
        <v>2318</v>
      </c>
      <c r="B47" s="109" t="str">
        <f>IF($B$42="Auto from failure rate",$B$46,$B$42)</f>
        <v>Average</v>
      </c>
      <c r="C47" t="s">
        <v>2319</v>
      </c>
    </row>
    <row r="48" spans="1:41">
      <c r="A48" t="s">
        <v>2320</v>
      </c>
      <c r="B48" s="109">
        <f>IF(OR($B$6&lt;=0,$B$17&lt;=0),"",$B$6/$B$17)</f>
        <v>1.1264080100125158</v>
      </c>
      <c r="C48" t="s">
        <v>2321</v>
      </c>
    </row>
    <row r="49" spans="1:3">
      <c r="A49" t="s">
        <v>2322</v>
      </c>
      <c r="B49" s="109" t="str">
        <f>IF($B$6&lt;=0,"Velocity not entered",IF($B$125&lt;&gt;"VALID","Velocity invalid / no usable metallic calibration reference",IF($B$6&lt;$B$53,"Below healthy reference — lower equivalent wall/stiffness inferred and used in life calculation",IF($B$6&gt;$B$54,"Above healthy reference — no extra credit above 100% acoustic reserve","Within healthy reference envelope — velocity used in life calculation"))))</f>
        <v>Above healthy reference — no extra credit above 100% acoustic reserve</v>
      </c>
      <c r="C49" t="s">
        <v>2323</v>
      </c>
    </row>
    <row r="50" spans="1:3">
      <c r="A50" t="s">
        <v>2324</v>
      </c>
      <c r="B50" s="109" t="str">
        <f>IF($B$78="YES",$B$77,"")</f>
        <v/>
      </c>
      <c r="C50" t="s">
        <v>2325</v>
      </c>
    </row>
    <row r="51" spans="1:3">
      <c r="A51" t="s">
        <v>2326</v>
      </c>
      <c r="B51" s="109" t="str">
        <f>IF($B$129="Direct Wall Thickness / NDT",IF($B$7&gt;0,"Selected direct wall thickness controls","Direct Wall/NDT selected — measurement required"),IF($B$129="Measured Acoustic Velocity",IF($B$78="YES","Selected measured acoustic velocity controls","Measured Acoustic Velocity selected — valid calibrated measurement required"),"Engineering Best-Practice structural condition / planning assumptions control"))</f>
        <v>Engineering Best-Practice structural condition / planning assumptions control</v>
      </c>
      <c r="C51" t="s">
        <v>2327</v>
      </c>
    </row>
    <row r="53" spans="1:3">
      <c r="A53" t="s">
        <v>2328</v>
      </c>
      <c r="B53" s="109">
        <f>MIN('Velocity Reference'!$K$2:$K$300)</f>
        <v>1.173</v>
      </c>
      <c r="C53" t="s">
        <v>2208</v>
      </c>
    </row>
    <row r="54" spans="1:3">
      <c r="A54" t="s">
        <v>2329</v>
      </c>
      <c r="B54" s="109">
        <f>MAX('Velocity Reference'!$K$2:$K$300)</f>
        <v>1.228</v>
      </c>
      <c r="C54" t="s">
        <v>2208</v>
      </c>
    </row>
    <row r="55" spans="1:3">
      <c r="A55" t="s">
        <v>2330</v>
      </c>
      <c r="B55" s="109">
        <f>MAX(0,$B$54-$B$53)</f>
        <v>5.4999999999999938E-2</v>
      </c>
      <c r="C55" t="s">
        <v>2208</v>
      </c>
    </row>
    <row r="56" spans="1:3">
      <c r="A56" t="s">
        <v>2331</v>
      </c>
      <c r="B56" s="109">
        <f>MAX(0.015,$B$55/2)</f>
        <v>2.7499999999999969E-2</v>
      </c>
      <c r="C56" t="s">
        <v>2208</v>
      </c>
    </row>
    <row r="57" spans="1:3">
      <c r="A57" t="s">
        <v>2332</v>
      </c>
      <c r="B57" s="109">
        <f>IF($B$6&lt;=0,"",IF(AND($B$6&gt;=$B$53,$B$6&lt;=$B$54),0,IF($B$6&lt;$B$53,$B$53-$B$6,$B$6-$B$54)))</f>
        <v>0.12200000000000011</v>
      </c>
      <c r="C57" t="s">
        <v>2208</v>
      </c>
    </row>
    <row r="58" spans="1:3">
      <c r="A58" t="s">
        <v>2333</v>
      </c>
      <c r="B58" s="109" t="str">
        <f>IF($B$129&lt;&gt;"Measured Acoustic Velocity","NOT ACTIVE",IF($B$125&lt;&gt;"VALID","INVALID / CHECK INPUT",IF($B$123&lt;=$B$126,"RED — CRITICAL ACOUSTIC CONDITION",IF($B$6&lt;$B$53,"AMBER — BELOW HEALTHY REFERENCE",IF($B$6&gt;$B$54,"CHECK — ABOVE HEALTHY REFERENCE","GREEN — WITHIN HEALTHY REFERENCE")))))</f>
        <v>NOT ACTIVE</v>
      </c>
      <c r="C58" t="s">
        <v>2334</v>
      </c>
    </row>
    <row r="59" spans="1:3">
      <c r="A59" t="s">
        <v>2335</v>
      </c>
      <c r="B59" s="109">
        <f>IF($B$6&lt;=0,"",MIN('Velocity Reference'!$L$2:$L$300))</f>
        <v>4.0000000000000036E-3</v>
      </c>
      <c r="C59" t="s">
        <v>2208</v>
      </c>
    </row>
    <row r="60" spans="1:3">
      <c r="A60" t="s">
        <v>2336</v>
      </c>
      <c r="B60" s="109">
        <f>IF($B$59="","",MATCH($B$59,'Velocity Reference'!$L$2:$L$300,0)+1)</f>
        <v>98</v>
      </c>
      <c r="C60" t="s">
        <v>2337</v>
      </c>
    </row>
    <row r="61" spans="1:3">
      <c r="A61" t="s">
        <v>2338</v>
      </c>
      <c r="B61" s="109" t="str">
        <f>IF($B$60="","",INDEX('Velocity Reference'!$A$2:$A$300,$B$60-1))</f>
        <v>Copper</v>
      </c>
      <c r="C61" t="s">
        <v>2339</v>
      </c>
    </row>
    <row r="62" spans="1:3">
      <c r="A62" t="s">
        <v>2340</v>
      </c>
      <c r="B62" s="109" t="str">
        <f>IF($B$60="","",INDEX('Velocity Reference'!$B$2:$B$300,$B$60-1))</f>
        <v>Standard</v>
      </c>
      <c r="C62" t="s">
        <v>2339</v>
      </c>
    </row>
    <row r="63" spans="1:3">
      <c r="A63" t="s">
        <v>2341</v>
      </c>
      <c r="B63" s="109">
        <f>IF($B$60="","",INDEX('Velocity Reference'!$C$2:$C$300,$B$60-1))</f>
        <v>6</v>
      </c>
      <c r="C63" t="s">
        <v>2195</v>
      </c>
    </row>
    <row r="64" spans="1:3">
      <c r="A64" t="s">
        <v>2342</v>
      </c>
      <c r="B64" s="109">
        <f>IF($B$60="","",INDEX('Velocity Reference'!$E$2:$E$300,$B$60-1))</f>
        <v>1.3540000000000001</v>
      </c>
      <c r="C64" t="s">
        <v>2208</v>
      </c>
    </row>
    <row r="65" spans="1:3">
      <c r="A65" t="s">
        <v>2343</v>
      </c>
      <c r="B65" s="109" t="str">
        <f>$B$71</f>
        <v>ABOVE HEALTHY REFERENCE — check pipe identity, restraint and measurement conditions; acoustic reserve is capped at 100% within the measured-evidence horizon.</v>
      </c>
      <c r="C65" t="s">
        <v>2344</v>
      </c>
    </row>
    <row r="66" spans="1:3">
      <c r="A66" t="s">
        <v>2345</v>
      </c>
      <c r="B66" s="109">
        <f>IF($B$6&lt;=0,"",MIN('Velocity Reference'!$N$2:$N$300))</f>
        <v>4.2000000000000037E-2</v>
      </c>
      <c r="C66" t="s">
        <v>2208</v>
      </c>
    </row>
    <row r="67" spans="1:3">
      <c r="A67" t="s">
        <v>2346</v>
      </c>
      <c r="B67" s="109">
        <f>IF($B$66="","",MATCH($B$66,'Velocity Reference'!$N$2:$N$300,0)+1)</f>
        <v>229</v>
      </c>
      <c r="C67" t="s">
        <v>2337</v>
      </c>
    </row>
    <row r="68" spans="1:3">
      <c r="A68" t="s">
        <v>2347</v>
      </c>
      <c r="B68" s="109" t="str">
        <f>IF($B$67="","",INDEX('Velocity Reference'!$B$2:$B$300,$B$67-1))</f>
        <v>Class 4</v>
      </c>
      <c r="C68" t="s">
        <v>2339</v>
      </c>
    </row>
    <row r="69" spans="1:3">
      <c r="A69" t="s">
        <v>2348</v>
      </c>
      <c r="B69" s="109">
        <f>IF($B$67="","",INDEX('Velocity Reference'!$C$2:$C$300,$B$67-1))</f>
        <v>80</v>
      </c>
      <c r="C69" t="s">
        <v>2195</v>
      </c>
    </row>
    <row r="70" spans="1:3">
      <c r="A70" t="s">
        <v>2349</v>
      </c>
      <c r="B70" s="109">
        <f>IF($B$67="","",INDEX('Velocity Reference'!$E$2:$E$300,$B$67-1))</f>
        <v>1.3080000000000001</v>
      </c>
      <c r="C70" t="s">
        <v>2208</v>
      </c>
    </row>
    <row r="71" spans="1:3">
      <c r="A71" t="s">
        <v>2350</v>
      </c>
      <c r="B71" s="109" t="str">
        <f>IF($B$6&lt;=0,"No velocity assessment.",IF($B$125&lt;&gt;"VALID","VELOCITY INVALID / NOT USED — verify units, material, diameter, charging/air condition and measurement quality.",IF($B$123&lt;=$B$126,"CRITICAL ACOUSTIC CONDITION — equivalent wall is at or below the model planning-critical wall; verify with representative Direct Wall/NDT.",IF($B$6&lt;$B$53,"BELOW HEALTHY REFERENCE — measured velocity is physically plausible and indicates reduced effective stiffness/equivalent wall; the lower equivalent wall and remaining life are used.",IF($B$6&gt;$B$54,"ABOVE HEALTHY REFERENCE — check pipe identity, restraint and measurement conditions; acoustic reserve is capped at 100% within the measured-evidence horizon.","WITHIN HEALTHY REFERENCE RANGE — measured velocity is used in the remaining-life calculation.")))))</f>
        <v>ABOVE HEALTHY REFERENCE — check pipe identity, restraint and measurement conditions; acoustic reserve is capped at 100% within the measured-evidence horizon.</v>
      </c>
      <c r="C71" t="s">
        <v>2351</v>
      </c>
    </row>
    <row r="72" spans="1:3">
      <c r="A72" t="s">
        <v>2352</v>
      </c>
      <c r="B72" s="109">
        <f>IF(OR($B$6&lt;=0,$B$125&lt;&gt;"VALID"),"",MAX('Velocity Reference'!$Q$2:$Q$300))</f>
        <v>1.228</v>
      </c>
      <c r="C72" t="s">
        <v>2208</v>
      </c>
    </row>
    <row r="73" spans="1:3">
      <c r="A73" t="s">
        <v>2353</v>
      </c>
      <c r="B73" s="109">
        <f>IF(OR($B$6&lt;=0,$B$125&lt;&gt;"VALID"),"",MIN('Velocity Reference'!$R$2:$R$300))</f>
        <v>999</v>
      </c>
      <c r="C73" t="s">
        <v>2208</v>
      </c>
    </row>
    <row r="74" spans="1:3">
      <c r="A74" t="s">
        <v>2354</v>
      </c>
      <c r="B74" s="109">
        <f>IF(OR($B$72="",$B$72=-999),"",INDEX('Velocity Reference'!$D$2:$D$300,MATCH($B$72,'Velocity Reference'!$P$2:$P$300,0)))</f>
        <v>12.8</v>
      </c>
      <c r="C74" t="s">
        <v>2195</v>
      </c>
    </row>
    <row r="75" spans="1:3">
      <c r="A75" t="s">
        <v>2355</v>
      </c>
      <c r="B75" s="109" t="str">
        <f>IF(OR($B$73="",$B$73=999),"",INDEX('Velocity Reference'!$D$2:$D$300,MATCH($B$73,'Velocity Reference'!$P$2:$P$300,0)))</f>
        <v/>
      </c>
      <c r="C75" t="s">
        <v>2195</v>
      </c>
    </row>
    <row r="76" spans="1:3">
      <c r="A76" t="s">
        <v>89</v>
      </c>
      <c r="B76" s="109">
        <f>IF($B$125="VALID",$B$123,"")</f>
        <v>28.275558567953802</v>
      </c>
      <c r="C76" t="s">
        <v>2195</v>
      </c>
    </row>
    <row r="77" spans="1:3">
      <c r="A77" t="s">
        <v>2356</v>
      </c>
      <c r="B77" s="109">
        <f>IF(OR(NOT(ISNUMBER($B$123)),NOT(ISNUMBER($B$126)),NOT(ISNUMBER($B$121)),$B$121&lt;=$B$126),"",MAX(0,MIN(1,($B$123-$B$126)/($B$121-$B$126))))</f>
        <v>1</v>
      </c>
      <c r="C77" t="s">
        <v>2357</v>
      </c>
    </row>
    <row r="78" spans="1:3">
      <c r="A78" t="s">
        <v>2358</v>
      </c>
      <c r="B78" s="109" t="str">
        <f>IF($B$129&lt;&gt;"Measured Acoustic Velocity","NO",IF($B$125="VALID","YES","NO"))</f>
        <v>NO</v>
      </c>
      <c r="C78" t="s">
        <v>2359</v>
      </c>
    </row>
    <row r="79" spans="1:3">
      <c r="A79" t="s">
        <v>2360</v>
      </c>
      <c r="B79" s="109">
        <f>IF($B$78="YES",$B$77,1)</f>
        <v>1</v>
      </c>
      <c r="C79" t="s">
        <v>2361</v>
      </c>
    </row>
    <row r="80" spans="1:3">
      <c r="A80" t="s">
        <v>2362</v>
      </c>
      <c r="B80" s="109" t="str">
        <f>$B$82</f>
        <v>ENGINEERING BEST-PRACTICE ASSESSMENT</v>
      </c>
      <c r="C80" t="s">
        <v>2363</v>
      </c>
    </row>
    <row r="81" spans="1:3">
      <c r="A81" t="s">
        <v>90</v>
      </c>
      <c r="B81" s="109" t="str">
        <f>IF($B$129&lt;&gt;"Measured Acoustic Velocity","Velocity is not the selected assessment method and does not affect remaining life.",IF($B$78="YES",$P$6,"Measured Acoustic Velocity is selected, but the entered value is invalid, physically implausible or lacks a usable metallic calibration. Correct the input or select another assessment method."))</f>
        <v>Velocity is not the selected assessment method and does not affect remaining life.</v>
      </c>
      <c r="C81" t="s">
        <v>2364</v>
      </c>
    </row>
    <row r="82" spans="1:3">
      <c r="A82" t="s">
        <v>2365</v>
      </c>
      <c r="B82" s="109" t="str">
        <f>IF($B$129="Direct Wall Thickness / NDT","DIRECT WALL MEASUREMENT",IF($B$129="Measured Acoustic Velocity",IF($B$78="YES","MEASURED VELOCITY","MEASURED VELOCITY — INVALID / NO CALIBRATION"),"ENGINEERING BEST-PRACTICE ASSESSMENT"))</f>
        <v>ENGINEERING BEST-PRACTICE ASSESSMENT</v>
      </c>
      <c r="C82" t="s">
        <v>2366</v>
      </c>
    </row>
    <row r="83" spans="1:3">
      <c r="A83" t="s">
        <v>2367</v>
      </c>
      <c r="B83" s="109" t="str">
        <f>IF($B$129="Direct Wall Thickness / NDT",$B$104,IF($B$129="Measured Acoustic Velocity",IF($B$78="YES",$B$105,"MEASURED VELOCITY SELECTED — enter a physically valid calibrated velocity or use another assessment method."),$B$106))</f>
        <v>ENGINEERING BEST-PRACTICE ASSESSMENT ACTIVE — No direct wall thickness or valid measured velocity is controlling the assessment. Remaining life is calculated using engineering condition factors including installation age, material, soil/environment, structural condition, joints/installation, pressure, transients and failure history. This is a calculated engineering screening assessment and should be supported by field condition measurements where major rehabilitation or investment decisions are being considered.</v>
      </c>
      <c r="C83" t="s">
        <v>2368</v>
      </c>
    </row>
    <row r="84" spans="1:3">
      <c r="A84" t="s">
        <v>92</v>
      </c>
      <c r="B84" s="109" t="str">
        <f>IF($B$129="Direct Wall Thickness / NDT","LOCAL MEASUREMENT — point-specific unless multiple readings are representative",IF($B$129="Measured Acoustic Velocity","AVERAGE SECTION CONDITION — across correlated pipe length","CALCULATED CONDITION — no direct condition measurement"))</f>
        <v>CALCULATED CONDITION — no direct condition measurement</v>
      </c>
      <c r="C84" t="s">
        <v>2369</v>
      </c>
    </row>
    <row r="85" spans="1:3">
      <c r="A85" t="s">
        <v>93</v>
      </c>
      <c r="B85" s="109" t="str">
        <f>IF($B$129="Direct Wall Thickness / NDT","HIGH locally / depends on sampling representativeness",IF($B$129="Measured Acoustic Velocity","MEDIUM-HIGH section-average screening","LOW-MEDIUM calculated engineering assessment"))</f>
        <v>LOW-MEDIUM calculated engineering assessment</v>
      </c>
      <c r="C85" t="s">
        <v>2370</v>
      </c>
    </row>
    <row r="86" spans="1:3">
      <c r="A86" t="s">
        <v>94</v>
      </c>
      <c r="B86" s="109" t="str">
        <f>IF(OR($B$129&lt;&gt;"Direct Wall Thickness / NDT",$B$7&lt;=0,NOT(ISNUMBER($B$131)),$B$131&lt;=0),"",$B$7/$B$131)</f>
        <v/>
      </c>
      <c r="C86" t="s">
        <v>2371</v>
      </c>
    </row>
    <row r="87" spans="1:3">
      <c r="A87" t="s">
        <v>2372</v>
      </c>
      <c r="B87" s="109" t="str">
        <f>IF($B$129&lt;&gt;"Direct Wall Thickness / NDT","",$B$130)</f>
        <v/>
      </c>
      <c r="C87" t="s">
        <v>2361</v>
      </c>
    </row>
    <row r="88" spans="1:3">
      <c r="A88" t="s">
        <v>2373</v>
      </c>
      <c r="B88" s="109" t="str">
        <f>IF($B$129&lt;&gt;"Direct Wall Thickness / NDT","NOT ACTIVE",IF($B$7&lt;=0,"ENTER WALL THICKNESS",IF(NOT(ISNUMBER($B$131)),"ACTUAL MEASURED WALL - NO ORIGINAL REFERENCE",IF($B$131&lt;=0,"ACTUAL MEASURED WALL - NO ORIGINAL REFERENCE",IF($B$7&gt;$B$131*1.1,"VERIFY - measured wall exceeds selected/calibration wall",IF($B$7&lt;$B$131*0.5,"VERIFY - severe wall loss","NORMAL"))))))</f>
        <v>NOT ACTIVE</v>
      </c>
      <c r="C88" t="s">
        <v>2374</v>
      </c>
    </row>
    <row r="89" spans="1:3">
      <c r="A89" t="s">
        <v>97</v>
      </c>
      <c r="B89" s="109" t="str">
        <f>IF($B$129&lt;&gt;"Direct Wall Thickness / NDT","Direct wall is not the selected assessment method.",IF($B$7&lt;=0,"Direct Wall Thickness / NDT selected - enter measured wall thickness.",IF($B$126&lt;=0,"Direct Wall/NDT cannot be assessed until material, diameter and pressure inputs are valid.",IF(AND(ISNUMBER($B$131),$B$131&gt;0),"The actual governing measured wall is used directly for structural reserve and remaining life; no generic pitting deduction is applied. "&amp;"The engineer is expected to measure or otherwise account for the lowest relevant pitting location. The result is local unless representative NDT readings cover the assessed length.","ACTUAL WALL MEASUREMENT USED - no embedded nominal/reference wall exists for this diameter. "&amp;"Remaining life is calculated directly from the entered governing measured wall down to the model critical wall. "&amp;"No generic pitting deduction or fabricated reference-wall percentage is applied."))))</f>
        <v>Direct wall is not the selected assessment method.</v>
      </c>
      <c r="C89" t="s">
        <v>2375</v>
      </c>
    </row>
    <row r="90" spans="1:3">
      <c r="A90" t="s">
        <v>2376</v>
      </c>
      <c r="B90" s="109">
        <f>IF($B$7&lt;=0,"",$B$19/MAX(0.01,$B$27))</f>
        <v>9.8001414725949232</v>
      </c>
      <c r="C90" t="s">
        <v>2377</v>
      </c>
    </row>
    <row r="91" spans="1:3">
      <c r="A91" t="s">
        <v>2378</v>
      </c>
      <c r="B91" t="s">
        <v>2379</v>
      </c>
      <c r="C91" t="s">
        <v>2380</v>
      </c>
    </row>
    <row r="92" spans="1:3">
      <c r="A92" t="s">
        <v>98</v>
      </c>
      <c r="B92" s="109" t="str">
        <f>IF(OR($B$129&lt;&gt;"Direct Wall Thickness / NDT",$B$7&lt;=0,NOT(ISNUMBER($B$131)),$B$131&lt;=0),"",$B$7/$B$131)</f>
        <v/>
      </c>
      <c r="C92" t="s">
        <v>2381</v>
      </c>
    </row>
    <row r="93" spans="1:3">
      <c r="A93" t="s">
        <v>2382</v>
      </c>
      <c r="B93" s="109" t="str">
        <f>IF($B$129&lt;&gt;"Direct Wall Thickness / NDT","NOT ACTIVE",IF($B$7&lt;=0,"NOT ASSESSED",IF($B$126&lt;=0,"NOT ASSESSED",IF($B$19&lt;=$B$126,"RED",IF(AND(ISNUMBER($B$131),$B$131&gt;0),IF($B$130&lt;=0.25,"RED",IF($B$130&lt;=0.5,"AMBER","GREEN")),IF($B$137&lt;='Assumptions &amp; Method'!$B$7,"RED",IF($B$137&lt;='Assumptions &amp; Method'!$B$8,"AMBER","GREEN")))))))</f>
        <v>NOT ACTIVE</v>
      </c>
      <c r="C93" t="s">
        <v>2383</v>
      </c>
    </row>
    <row r="94" spans="1:3">
      <c r="A94" t="s">
        <v>2384</v>
      </c>
      <c r="B94" s="109" t="str">
        <f>IF($B$129&lt;&gt;"Direct Wall Thickness / NDT","Direct wall is not the selected assessment method.",IF($B$7&lt;=0,"Direct Wall Thickness / NDT selected — enter measured wall thickness.",IF($B$93="RED","RED — direct measured wall is at/near the model critical wall or has very limited measured reserve life. Verify with representative NDT and undertake engineering intervention review.",IF($B$93="AMBER","AMBER — direct measured wall has reduced remaining reserve. Obtain representative NDT and plan the appropriate rehabilitation response.","GREEN — direct measured wall retains useful reserve above the model critical wall. Continue monitoring; one local reading must not be assumed to represent the full pipe length."))))</f>
        <v>Direct wall is not the selected assessment method.</v>
      </c>
      <c r="C94" t="s">
        <v>2375</v>
      </c>
    </row>
    <row r="95" spans="1:3">
      <c r="A95" t="s">
        <v>2385</v>
      </c>
      <c r="B95" s="109" t="str">
        <f>IF(OR($B$129&lt;&gt;"Direct Wall Thickness / NDT",$B$7&lt;=0,NOT(ISNUMBER($B$131)),$B$131&lt;=0),"",MAX(0,$L$2*(1-MIN(1,$B$7/$B$131))))</f>
        <v/>
      </c>
      <c r="C95" t="s">
        <v>2314</v>
      </c>
    </row>
    <row r="96" spans="1:3">
      <c r="A96" t="s">
        <v>2386</v>
      </c>
      <c r="B96" s="109" t="str">
        <f>IF(AND($B$129="Direct Wall Thickness / NDT",$B$93="RED"),"YES","NO")</f>
        <v>NO</v>
      </c>
      <c r="C96" t="s">
        <v>2359</v>
      </c>
    </row>
    <row r="97" spans="1:3">
      <c r="A97" t="s">
        <v>2387</v>
      </c>
      <c r="B97" t="s">
        <v>2388</v>
      </c>
      <c r="C97" t="s">
        <v>2389</v>
      </c>
    </row>
    <row r="98" spans="1:3">
      <c r="A98" t="s">
        <v>2390</v>
      </c>
      <c r="B98" s="109" t="str">
        <f>IF($B$129="Direct Wall Thickness / NDT",IF($B$7&lt;=0,"AMBER",IF(OR($B$93="RED",$B$113&lt;='Assumptions &amp; Method'!$B$7),"RED",IF(OR($B$93="AMBER",$B$113&lt;='Assumptions &amp; Method'!$B$8),"AMBER","GREEN"))),IF($B$113&lt;='Assumptions &amp; Method'!$B$7,"RED",IF($B$113&lt;='Assumptions &amp; Method'!$B$8,"AMBER","GREEN")))</f>
        <v>GREEN</v>
      </c>
      <c r="C98" t="s">
        <v>2383</v>
      </c>
    </row>
    <row r="99" spans="1:3">
      <c r="A99" t="s">
        <v>2391</v>
      </c>
      <c r="B99" s="109" t="str">
        <f>IF($B$129="Direct Wall Thickness / NDT",IF($B$7&lt;=0,"DIRECT WALL METHOD SELECTED — enter a wall-thickness/NDT measurement before using the life result.",$B$94),IF($B$129="Measured Acoustic Velocity",IF($B$78="YES",IF($B$123&lt;=$B$126,"ACOUSTIC CONDITION USED — equivalent wall is at/below the model planning-critical wall. Verify with direct NDT and engineering review.",IF($B$6&lt;$B$53,"ACOUSTIC CONDITION USED — low velocity has reduced structural wall reserve and remaining planning life.","ACOUSTIC CONDITION USED — measured velocity controls the section-average condition estimate.")),"MEASURED VELOCITY METHOD SELECTED — enter a valid calibrated velocity or select another method."),IF($I$2&lt;&gt;"Metallic",IF($I$4&gt;=1,"NON-METALLIC SCREENING HORIZON REACHED — the age-only Engineering Best-Practice screen awards no positive remaining-life credit. This is not a prediction of immediate physical failure; obtain material-specific condition evidence before a renewal decision.","NON-METALLIC ENGINEERING SCREENING — result is based on age, pressure utilisation, surge/cycling, environment, installation/joints, structural condition and failure history. Calibrate with material-specific evidence before major investment decisions."),"No direct measurement method is selected. Findings are based on the Engineering Best-Practice Assessment.")))</f>
        <v>No direct measurement method is selected. Findings are based on the Engineering Best-Practice Assessment.</v>
      </c>
      <c r="C99" t="s">
        <v>2392</v>
      </c>
    </row>
    <row r="100" spans="1:3">
      <c r="A100" t="s">
        <v>2393</v>
      </c>
      <c r="B100" s="109">
        <f>IF($B$4="Select",0,COUNTIFS('Velocity Reference'!$A$2:$A$400,$B$3,'Velocity Reference'!$B$2:$B$400,$B$103,'Velocity Reference'!$C$2:$C$400,$B$5))</f>
        <v>1</v>
      </c>
      <c r="C100" t="s">
        <v>2394</v>
      </c>
    </row>
    <row r="101" spans="1:3">
      <c r="A101" t="s">
        <v>2395</v>
      </c>
      <c r="B101" s="109" t="str">
        <f>IF($B$4="Select","NOT SELECTED",IF($B$100=0,"NOT FOUND",IF($B$100&gt;1,"DUPLICATE / CONFLICT","OK")))</f>
        <v>OK</v>
      </c>
      <c r="C101" t="s">
        <v>2396</v>
      </c>
    </row>
    <row r="102" spans="1:3">
      <c r="A102" t="s">
        <v>2397</v>
      </c>
      <c r="B102" s="109" t="str">
        <f>IF($B$101="OK","Reference found.",IF($B$101="DUPLICATE / CONFLICT","REFERENCE CONFLICT — more than one source row matches the selected material, class and diameter. Resolve the source data before using reference-based diagnostics.",IF($B$129="Direct Wall Thickness / NDT","NO EMBEDDED ORIGINAL-WALL REFERENCE — actual measured wall remains valid and controls the life assessment. Reference-wall percentage diagnostics are not shown.","REFERENCE NOT FOUND — no matching reference exists for the selected material, class and diameter.")))</f>
        <v>Reference found.</v>
      </c>
      <c r="C102" t="s">
        <v>2375</v>
      </c>
    </row>
    <row r="103" spans="1:3">
      <c r="A103" t="s">
        <v>2398</v>
      </c>
      <c r="B103" s="109" t="str">
        <f>IF($B$157&lt;&gt;"VALID","INVALID CLASS",IF($B$4="Unknown - Average","Unknown - average",IF($B$4="Unknown - Worst Case","Unknown - worst case",$B$4)))</f>
        <v>Unknown - average</v>
      </c>
      <c r="C103" t="s">
        <v>2399</v>
      </c>
    </row>
    <row r="104" spans="1:3">
      <c r="A104" t="s">
        <v>2400</v>
      </c>
      <c r="B104" t="s">
        <v>2401</v>
      </c>
    </row>
    <row r="105" spans="1:3">
      <c r="A105" t="s">
        <v>2402</v>
      </c>
      <c r="B105" t="s">
        <v>2403</v>
      </c>
    </row>
    <row r="106" spans="1:3">
      <c r="A106" t="s">
        <v>2404</v>
      </c>
      <c r="B106" t="s">
        <v>2405</v>
      </c>
    </row>
    <row r="107" spans="1:3">
      <c r="A107" t="s">
        <v>54</v>
      </c>
      <c r="B107" s="109">
        <f>IF(NOT(ISNUMBER(Dashboard!B26)),"",IF(Dashboard!$B$2="Metric",Dashboard!B26,Dashboard!B26*'Unit Selection'!$E$7))</f>
        <v>20</v>
      </c>
      <c r="C107" t="s">
        <v>2302</v>
      </c>
    </row>
    <row r="108" spans="1:3">
      <c r="A108" t="s">
        <v>55</v>
      </c>
      <c r="B108" s="109" t="str">
        <f>Dashboard!B27</f>
        <v>Continuous supply</v>
      </c>
      <c r="C108" t="s">
        <v>2406</v>
      </c>
    </row>
    <row r="109" spans="1:3">
      <c r="A109" t="s">
        <v>2407</v>
      </c>
      <c r="B109" s="109">
        <f>IF(AND($B$108="Intermittent supply",$I$2="Metallic"),0.95,1)</f>
        <v>1</v>
      </c>
      <c r="C109" t="s">
        <v>2408</v>
      </c>
    </row>
    <row r="110" spans="1:3">
      <c r="A110" t="s">
        <v>2409</v>
      </c>
      <c r="B110" s="109" t="str">
        <f>IF($B$8&lt;$B$107,"BELOW REQUIREMENT","OK")</f>
        <v>OK</v>
      </c>
      <c r="C110" t="s">
        <v>2410</v>
      </c>
    </row>
    <row r="111" spans="1:3">
      <c r="A111" t="s">
        <v>2411</v>
      </c>
      <c r="B111" s="109" t="str">
        <f>IF($B$9&lt;$B$107,"BELOW REQUIREMENT","OK")</f>
        <v>OK</v>
      </c>
      <c r="C111" t="s">
        <v>2410</v>
      </c>
    </row>
    <row r="112" spans="1:3">
      <c r="A112" t="s">
        <v>2412</v>
      </c>
      <c r="B112" s="109">
        <f>IF($B$129="Direct Wall Thickness / NDT",0.15,IF($B$129="Measured Acoustic Velocity",IF($B$78="YES",0.2,0.3),0.3))</f>
        <v>0.3</v>
      </c>
      <c r="C112" t="s">
        <v>2413</v>
      </c>
    </row>
    <row r="113" spans="1:3">
      <c r="A113" t="s">
        <v>2414</v>
      </c>
      <c r="B113" s="109">
        <f>IF($I$2="Metallic",MAX(0,$L$13*(1-$B$112)),MAX(0,$I$13*(1-$B$112)))</f>
        <v>19.147191522048015</v>
      </c>
      <c r="C113" t="s">
        <v>2314</v>
      </c>
    </row>
    <row r="114" spans="1:3">
      <c r="A114" t="s">
        <v>2415</v>
      </c>
      <c r="B114" s="109">
        <f>IF($I$2="Metallic",MIN(IF($B$129="Direct Wall Thickness / NDT",$B$139,IF(AND($B$129="Measured Acoustic Velocity",$B$78="YES"),MAX($L$8,$B$133),$L$8)),$L$13*(1+$B$112)),IF($I$13="","",MIN(MAX(0,$I$3*(1-$I$4)),$I$13*(1+$B$112))))</f>
        <v>34</v>
      </c>
      <c r="C114" t="s">
        <v>2314</v>
      </c>
    </row>
    <row r="115" spans="1:3">
      <c r="A115" t="s">
        <v>2416</v>
      </c>
      <c r="B115" s="109">
        <f>IF($I$2="Metallic",MAX(0,$L$14*(1-$B$112)),MAX(0,$I$14*(1-$B$112)))</f>
        <v>19.147191522048015</v>
      </c>
      <c r="C115" t="s">
        <v>2314</v>
      </c>
    </row>
    <row r="116" spans="1:3">
      <c r="A116" t="s">
        <v>2417</v>
      </c>
      <c r="B116" s="109">
        <f>IF($I$2="Metallic",MIN(IF($B$129="Direct Wall Thickness / NDT",$B$140,IF(AND($B$129="Measured Acoustic Velocity",$B$78="YES"),MAX($L$8,$B$133),$L$8)),$L$14*(1+$B$112)),IF($I$14="","",MIN(MAX(0,$I$3*(1-$I$4)),$I$14*(1+$B$112))))</f>
        <v>34</v>
      </c>
      <c r="C116" t="s">
        <v>2314</v>
      </c>
    </row>
    <row r="117" spans="1:3">
      <c r="A117" t="s">
        <v>2418</v>
      </c>
      <c r="B117" s="109">
        <f>$L$22</f>
        <v>1</v>
      </c>
      <c r="C117" t="s">
        <v>2419</v>
      </c>
    </row>
    <row r="118" spans="1:3">
      <c r="A118" t="s">
        <v>2420</v>
      </c>
      <c r="B118" s="109">
        <f>$I$7</f>
        <v>1</v>
      </c>
      <c r="C118" t="s">
        <v>2419</v>
      </c>
    </row>
    <row r="119" spans="1:3">
      <c r="A119" t="s">
        <v>2421</v>
      </c>
      <c r="B119" s="109" t="str">
        <f>IF($B$108="Continuous supply","Continuous supply — no intermittent-operation penalty applied.",IF($I$2="Metallic","Intermittent supply — at least Moderate pressure-cycling severity is applied, plus a conservative 5% planning allowance for possible internal oxygen-corrosion exposure where lining condition is not explicitly known. External soil corrosion is unchanged.","Intermittent supply — at least Moderate pressure-cycling severity is applied. No metallic internal-corrosion allowance is applied. External soil/environment effects remain separate."))</f>
        <v>Continuous supply — no intermittent-operation penalty applied.</v>
      </c>
      <c r="C119" t="s">
        <v>2422</v>
      </c>
    </row>
    <row r="121" spans="1:3">
      <c r="A121" t="s">
        <v>2423</v>
      </c>
      <c r="B121" s="109">
        <f>IF($I$2&lt;&gt;"Metallic","",IF(COUNTIFS('Velocity Reference'!$A$2:$A$400,$B$3,'Velocity Reference'!$B$2:$B$400,$B$103,'Velocity Reference'!$C$2:$C$400,$B$5)=1,SUMIFS('Velocity Reference'!$D$2:$D$400,'Velocity Reference'!$A$2:$A$400,$B$3,'Velocity Reference'!$B$2:$B$400,$B$103,'Velocity Reference'!$C$2:$C$400,$B$5),IF(COUNTIFS('Velocity Reference'!$A$2:$A$400,$B$3,'Velocity Reference'!$B$2:$B$400,"Unknown - average",'Velocity Reference'!$C$2:$C$400,$B$5)&gt;0,SUMIFS('Velocity Reference'!$D$2:$D$400,'Velocity Reference'!$A$2:$A$400,$B$3,'Velocity Reference'!$B$2:$B$400,"Unknown - average",'Velocity Reference'!$C$2:$C$400,$B$5)/COUNTIFS('Velocity Reference'!$A$2:$A$400,$B$3,'Velocity Reference'!$B$2:$B$400,"Unknown - average",'Velocity Reference'!$C$2:$C$400,$B$5),"")))</f>
        <v>10.775</v>
      </c>
      <c r="C121" t="s">
        <v>2424</v>
      </c>
    </row>
    <row r="122" spans="1:3">
      <c r="A122" t="s">
        <v>2425</v>
      </c>
      <c r="B122" s="109">
        <f>IF($I$2&lt;&gt;"Metallic","",IF(COUNTIFS('Velocity Reference'!$A$2:$A$400,$B$3,'Velocity Reference'!$B$2:$B$400,$B$103,'Velocity Reference'!$C$2:$C$400,$B$5)=1,SUMIFS('Velocity Reference'!$E$2:$E$400,'Velocity Reference'!$A$2:$A$400,$B$3,'Velocity Reference'!$B$2:$B$400,$B$103,'Velocity Reference'!$C$2:$C$400,$B$5),IF(COUNTIFS('Velocity Reference'!$A$2:$A$400,$B$3,'Velocity Reference'!$B$2:$B$400,"Unknown - average",'Velocity Reference'!$C$2:$C$400,$B$5)&gt;0,SUMIFS('Velocity Reference'!$E$2:$E$400,'Velocity Reference'!$A$2:$A$400,$B$3,'Velocity Reference'!$B$2:$B$400,"Unknown - average",'Velocity Reference'!$C$2:$C$400,$B$5)/COUNTIFS('Velocity Reference'!$A$2:$A$400,$B$3,'Velocity Reference'!$B$2:$B$400,"Unknown - average",'Velocity Reference'!$C$2:$C$400,$B$5),"")))</f>
        <v>1.1984999999999999</v>
      </c>
      <c r="C122" t="s">
        <v>2426</v>
      </c>
    </row>
    <row r="123" spans="1:3">
      <c r="A123" t="s">
        <v>2427</v>
      </c>
      <c r="B123" s="109">
        <f>IF(OR($B$6&lt;=0,$B$121&lt;=0,$B$122&lt;=0,$B$6&gt;=$F$7),"",MAX(0,$B$121*((($F$7^2)/($B$122^2))-1)/((($F$7^2)/($B$6^2))-1)))</f>
        <v>28.275558567953802</v>
      </c>
      <c r="C123" t="s">
        <v>2428</v>
      </c>
    </row>
    <row r="124" spans="1:3">
      <c r="A124" t="s">
        <v>2429</v>
      </c>
      <c r="B124" s="109">
        <f>IF(OR($B$123="",$B$121&lt;=0),"",MAX(0,$B$123/$B$121))</f>
        <v>2.6241817696476843</v>
      </c>
      <c r="C124" t="s">
        <v>2430</v>
      </c>
    </row>
    <row r="125" spans="1:3">
      <c r="A125" t="s">
        <v>2431</v>
      </c>
      <c r="B125" s="109" t="str">
        <f>IF(OR(NOT(ISNUMBER($B$6)),$B$6&lt;=0),"NOT ASSESSED",IF(OR($I$2&lt;&gt;"Metallic",NOT(ISNUMBER($B$121)),$B$121&lt;=0,NOT(ISNUMBER($B$122)),$B$122&lt;=0,$B$6&gt;=$F$7,$B$6&lt;$B$122*0.5),"INVALID","VALID"))</f>
        <v>VALID</v>
      </c>
      <c r="C125" t="s">
        <v>2432</v>
      </c>
    </row>
    <row r="126" spans="1:3">
      <c r="A126" t="s">
        <v>2433</v>
      </c>
      <c r="B126" s="109">
        <f>IF($B$129="Direct Wall Thickness / NDT",IF($B$7&lt;=0,"",IF(AND(ISNUMBER($B$131),$B$131&gt;0),MAX($B$131*IFERROR(INDEX('Material Assumptions'!$D$2:$D$7,MATCH($B$3,'Material Assumptions'!$A$2:$A$7,0)),0.55),IFERROR(INDEX('Material Assumptions'!$E$2:$E$7,MATCH($B$3,'Material Assumptions'!$A$2:$A$7,0)),3),$B$27),MAX(IFERROR(INDEX('Material Assumptions'!$E$2:$E$7,MATCH($B$3,'Material Assumptions'!$A$2:$A$7,0)),3),$B$27))),IF(OR(NOT(ISNUMBER($B$121)),$B$121&lt;=0),"",MAX($B$121*IFERROR(INDEX('Material Assumptions'!$D$2:$D$7,MATCH($B$3,'Material Assumptions'!$A$2:$A$7,0)),0.55),IFERROR(INDEX('Material Assumptions'!$E$2:$E$7,MATCH($B$3,'Material Assumptions'!$A$2:$A$7,0)),3),$B$27)))</f>
        <v>5.9262500000000005</v>
      </c>
      <c r="C126" t="s">
        <v>2434</v>
      </c>
    </row>
    <row r="127" spans="1:3">
      <c r="A127" t="s">
        <v>2435</v>
      </c>
      <c r="B127" s="109">
        <f>IF($B$77="","",$B$77)</f>
        <v>1</v>
      </c>
      <c r="C127" t="s">
        <v>2436</v>
      </c>
    </row>
    <row r="128" spans="1:3">
      <c r="A128" t="s">
        <v>2437</v>
      </c>
      <c r="B128" s="109">
        <f>IF($B$77="","",$B$77)</f>
        <v>1</v>
      </c>
      <c r="C128" t="s">
        <v>2438</v>
      </c>
    </row>
    <row r="129" spans="1:3">
      <c r="A129" t="s">
        <v>2439</v>
      </c>
      <c r="B129" s="109" t="str">
        <f>IF(Dashboard!$B$6="Direct Wall Thickness / NDT",IF($I$2="Metallic","Direct Wall Thickness / NDT","Engineering Best-Practice Assessment"),IF(Dashboard!$B$6="Measured Acoustic Velocity",IF(OR($B$3="Ductile iron",$B$3="Grey cast iron",$B$3="Carbon steel"),"Measured Acoustic Velocity","Engineering Best-Practice Assessment"),"Engineering Best-Practice Assessment"))</f>
        <v>Engineering Best-Practice Assessment</v>
      </c>
      <c r="C129" t="s">
        <v>2440</v>
      </c>
    </row>
    <row r="130" spans="1:3">
      <c r="A130" t="s">
        <v>2441</v>
      </c>
      <c r="B130" s="109" t="str">
        <f>IF(OR($B$129&lt;&gt;"Direct Wall Thickness / NDT",$B$7&lt;=0,NOT(ISNUMBER($B$131)),$B$131&lt;=0,$B$126&lt;=0,$B$131&lt;=$B$126),"",MAX(0,MIN(1,($B$7-$B$126)/($B$131-$B$126))))</f>
        <v/>
      </c>
      <c r="C130" t="s">
        <v>2442</v>
      </c>
    </row>
    <row r="131" spans="1:3">
      <c r="A131" t="s">
        <v>2443</v>
      </c>
      <c r="B131" s="109" t="str">
        <f>IF($B$129&lt;&gt;"Direct Wall Thickness / NDT","",IF($B$16&gt;0,$B$16,IF($B$121&gt;0,$B$121,"")))</f>
        <v/>
      </c>
      <c r="C131" t="s">
        <v>2444</v>
      </c>
    </row>
    <row r="132" spans="1:3">
      <c r="A132" t="s">
        <v>2445</v>
      </c>
      <c r="B132" s="109" t="str">
        <f>IF(AND($B$129="Measured Acoustic Velocity",$B$78="YES",$L$13&gt;MIN($L$8,$L$8*$L$33*$L$25*$B$109)+0.01),"YES","NO")</f>
        <v>NO</v>
      </c>
      <c r="C132" t="s">
        <v>2446</v>
      </c>
    </row>
    <row r="133" spans="1:3">
      <c r="A133" t="s">
        <v>2447</v>
      </c>
      <c r="B133" s="109">
        <f>'Assumptions &amp; Method'!$B$76</f>
        <v>25</v>
      </c>
      <c r="C133" t="s">
        <v>2314</v>
      </c>
    </row>
    <row r="134" spans="1:3">
      <c r="A134" t="s">
        <v>2448</v>
      </c>
      <c r="B134" s="109" t="str">
        <f>IF($B$42="Auto from failure rate","AUTO",IF($B$46="Insufficient data","ENGINEER OVERRIDE — AUTO UNAVAILABLE",IF($B$42=$B$46,"ENGINEER OVERRIDE — AGREES WITH AUTO","ENGINEER OVERRIDE — DIFFERS FROM AUTO")))</f>
        <v>AUTO</v>
      </c>
      <c r="C134" t="s">
        <v>2449</v>
      </c>
    </row>
    <row r="135" spans="1:3">
      <c r="A135" t="s">
        <v>2450</v>
      </c>
      <c r="B135" s="109" t="str">
        <f>IF($B$42="Auto from failure rate","",IF($B$46="Insufficient data","ENGINEER OVERRIDE ACTIVE — Failure history is manually classified as "&amp;$B$42&amp;" because the automatic rate classification is unavailable. Confirm and document the engineering basis.",IF($B$42&lt;&gt;$B$46,"ENGINEER OVERRIDE ACTIVE — Calculated failure history is "&amp;$B$46&amp;IF(ISNUMBER($B$45)," ("&amp;TEXT($B$45,"0.0")&amp;" bursts/100 km/year)","")&amp;", but "&amp;$B$42&amp;" has been selected. Confirm and document the engineering justification for this override.","ENGINEER OVERRIDE ACTIVE — Manual failure-history class agrees with the automatic classification ("&amp;$B$46&amp;").")))</f>
        <v/>
      </c>
      <c r="C135" t="s">
        <v>2451</v>
      </c>
    </row>
    <row r="136" spans="1:3">
      <c r="A136" t="s">
        <v>2452</v>
      </c>
      <c r="B136" s="109">
        <f>MAX('Assumptions &amp; Method'!$F$24,MIN(1,$B$22*$B$23*$L$9))</f>
        <v>0.72914814385150806</v>
      </c>
      <c r="C136" t="s">
        <v>2453</v>
      </c>
    </row>
    <row r="137" spans="1:3">
      <c r="A137" t="s">
        <v>2454</v>
      </c>
      <c r="B137" s="109" t="str">
        <f>IF(OR($B$129&lt;&gt;"Direct Wall Thickness / NDT",$B$7&lt;=0,$B$126&lt;=0,$B$21&lt;=0),"",MAX(0,($B$19-$B$126)/$B$21))</f>
        <v/>
      </c>
      <c r="C137" t="s">
        <v>2455</v>
      </c>
    </row>
    <row r="138" spans="1:3">
      <c r="A138" t="s">
        <v>2456</v>
      </c>
      <c r="B138" s="109" t="str">
        <f>IF(OR($B$129&lt;&gt;"Direct Wall Thickness / NDT",$B$7&lt;=0,$B$21&lt;=0),"",MAX(0,($B$19-IF(AND(ISNUMBER($B$131),$B$131&gt;0),MAX($B$131*IFERROR(INDEX('Material Assumptions'!$D$2:$D$7,MATCH($B$3,'Material Assumptions'!$A$2:$A$7,0)),0.55),IFERROR(INDEX('Material Assumptions'!$E$2:$E$7,MATCH($B$3,'Material Assumptions'!$A$2:$A$7,0)),3),$B$29),MAX(IFERROR(INDEX('Material Assumptions'!$E$2:$E$7,MATCH($B$3,'Material Assumptions'!$A$2:$A$7,0)),3),$B$29)))/$B$21))</f>
        <v/>
      </c>
      <c r="C138" t="s">
        <v>2455</v>
      </c>
    </row>
    <row r="139" spans="1:3">
      <c r="A139" t="s">
        <v>2457</v>
      </c>
      <c r="B139" s="109" t="str">
        <f>IF(ISNUMBER($B$137),MIN(MAX($L$8,$B$133),$B$137),"")</f>
        <v/>
      </c>
      <c r="C139" t="s">
        <v>2458</v>
      </c>
    </row>
    <row r="140" spans="1:3">
      <c r="A140" t="s">
        <v>2459</v>
      </c>
      <c r="B140" s="109" t="str">
        <f>IF(ISNUMBER($B$138),MIN(MAX($L$8,$B$133),$B$138),"")</f>
        <v/>
      </c>
      <c r="C140" t="s">
        <v>2460</v>
      </c>
    </row>
    <row r="141" spans="1:3">
      <c r="A141" t="s">
        <v>2461</v>
      </c>
      <c r="B141" s="109" t="str">
        <f>IF(AND($B$129="Direct Wall Thickness / NDT",$B$7&gt;0,ISNUMBER($B$137),$L$13&gt;MIN($L$8,$L$8*$L$33*$L$25*$B$109)+0.01),"YES","NO")</f>
        <v>NO</v>
      </c>
      <c r="C141" t="s">
        <v>2462</v>
      </c>
    </row>
    <row r="142" spans="1:3">
      <c r="A142" t="s">
        <v>2463</v>
      </c>
      <c r="B142" s="109" t="str">
        <f>IF(AND(Dashboard!$B$24&lt;&gt;"",NOT(ISNUMBER(Dashboard!$B$24))),"INVALID",IF(AND(ISNUMBER(Dashboard!$B$24),Dashboard!$B$24&lt;0),"INVALID",IF(NOT(ISNUMBER(Dashboard!$B$23)),IF(Dashboard!$B$23="","VALID","INVALID"),IF(OR(Dashboard!$B$23&lt;0,Dashboard!$B$23&lt;&gt;INT(Dashboard!$B$23)),"INVALID",IF(Dashboard!$B$23=0,IF(Dashboard!$B$24="","VALID",IF(NOT(ISNUMBER(Dashboard!$B$24)),"INVALID",IF(Dashboard!$B$24&gt;=0,"VALID","INVALID"))),IF(NOT(ISNUMBER(Dashboard!$B$24)),"INVALID",IF(Dashboard!$B$24&gt;0,"VALID","INVALID")))))))</f>
        <v>VALID</v>
      </c>
      <c r="C142" t="s">
        <v>2464</v>
      </c>
    </row>
    <row r="143" spans="1:3">
      <c r="A143" t="s">
        <v>2465</v>
      </c>
      <c r="B143" s="109" t="str">
        <f>IF(OR($B$163="INVALID",$B$159="INVALID",$B$146="INVALID",$B$147="INVALID",NOT(ISNUMBER(Dashboard!$B$4)),Dashboard!$B$4&lt;=0,$B$148="INVALID",$B$142="INVALID",NOT(ISNUMBER(Dashboard!$B$13)),Dashboard!$B$13&lt;0,NOT(ISNUMBER(Dashboard!$B$14)),Dashboard!$B$14&lt;0,NOT(ISNUMBER(Dashboard!$B$17)),Dashboard!$B$17&lt;0,NOT(ISNUMBER(Dashboard!$B$26)),Dashboard!$B$26&lt;0),"INVALID","VALID")</f>
        <v>VALID</v>
      </c>
      <c r="C143" t="s">
        <v>2466</v>
      </c>
    </row>
    <row r="144" spans="1:3">
      <c r="A144" t="s">
        <v>2467</v>
      </c>
      <c r="B144" s="109" t="str">
        <f>IF($B$143="VALID","",IF($B$163="INVALID",$P$12,IF(OR(AND(Dashboard!$B$6="Direct Wall Thickness / NDT",$I$2&lt;&gt;"Metallic"),AND(Dashboard!$B$6="Measured Acoustic Velocity",NOT(OR($B$3="Ductile iron",$B$3="Grey cast iron",$B$3="Carbon steel")))),$P$10,IF($B$159="INVALID",$P$11,IF($B$146="INVALID",$P$8,IF($B$147="INVALID",$P$9,IF(OR(NOT(ISNUMBER(Dashboard!$B$4)),Dashboard!$B$4&lt;=0),"INPUT CHECK REQUIRED — Surveyed pipe length must be greater than zero before the condition/life and failure-rate assessment can be used.",IF($B$142="INVALID","INPUT CHECK REQUIRED — Burst/failure count must be a non-negative whole number. Burst-history period cannot be negative or non-numeric, and where one or more failures are entered the history period must be greater than zero.",IF($B$148="INVALID",$P$10,IF(OR(NOT(ISNUMBER(Dashboard!$B$13)),Dashboard!$B$13&lt;0,NOT(ISNUMBER(Dashboard!$B$14)),Dashboard!$B$14&lt;0,NOT(ISNUMBER(Dashboard!$B$17)),Dashboard!$B$17&lt;0,NOT(ISNUMBER(Dashboard!$B$26)),Dashboard!$B$26&lt;0),"INPUT CHECK REQUIRED — Pressure, surge and minimum-service-pressure inputs must be numeric and cannot be negative.","INPUT CHECK REQUIRED — Correct the required input before using the assessment."))))))))))</f>
        <v/>
      </c>
      <c r="C144" t="s">
        <v>2468</v>
      </c>
    </row>
    <row r="145" spans="1:3">
      <c r="A145" t="s">
        <v>2469</v>
      </c>
      <c r="B145" t="s">
        <v>2470</v>
      </c>
      <c r="C145" t="s">
        <v>2471</v>
      </c>
    </row>
    <row r="146" spans="1:3">
      <c r="A146" t="s">
        <v>2472</v>
      </c>
      <c r="B146" s="109" t="str">
        <f>IF(AND(ISNUMBER($B$5),$B$5&gt;=25,$B$5&lt;=5000),"VALID","INVALID")</f>
        <v>VALID</v>
      </c>
      <c r="C146" t="s">
        <v>2473</v>
      </c>
    </row>
    <row r="147" spans="1:3">
      <c r="A147" t="s">
        <v>2474</v>
      </c>
      <c r="B147" s="109" t="str">
        <f>IF(OR(NOT(ISNUMBER(Dashboard!$B$3)),Dashboard!$B$3&lt;=0,Dashboard!$B$3&gt;2958465),"INVALID",IF(NOT(ISNUMBER(Dashboard!$B$7)),"INVALID",IF(AND(Dashboard!$B$7=INT(Dashboard!$B$7),Dashboard!$B$7&gt;=1800,Dashboard!$B$7&lt;=YEAR(Dashboard!$B$3)),"VALID","INVALID")))</f>
        <v>VALID</v>
      </c>
      <c r="C147" t="s">
        <v>2475</v>
      </c>
    </row>
    <row r="148" spans="1:3">
      <c r="A148" t="s">
        <v>2476</v>
      </c>
      <c r="B148" s="109" t="str">
        <f>IF(Dashboard!$B$6="Direct Wall Thickness / NDT",IF(AND($I$2="Metallic",ISNUMBER($B$7),$B$7&gt;0),"VALID","INVALID"),IF(Dashboard!$B$6="Measured Acoustic Velocity",IF(AND($I$2="Metallic",OR($B$3="Ductile iron",$B$3="Grey cast iron",$B$3="Carbon steel"),ISNUMBER($B$6),$B$6&gt;0,ISNUMBER($B$121),$B$121&gt;0,ISNUMBER($B$122),$B$122&gt;0,$B$125="VALID"),"VALID","INVALID"),IF(Dashboard!$B$6="Engineering Best-Practice Assessment","VALID","INVALID")))</f>
        <v>VALID</v>
      </c>
      <c r="C148" t="s">
        <v>2477</v>
      </c>
    </row>
    <row r="149" spans="1:3">
      <c r="A149" t="s">
        <v>2478</v>
      </c>
      <c r="B149" t="s">
        <v>2479</v>
      </c>
      <c r="C149" t="s">
        <v>2480</v>
      </c>
    </row>
    <row r="150" spans="1:3">
      <c r="A150" t="s">
        <v>2481</v>
      </c>
      <c r="B150" s="109" t="str">
        <f>IF(AND($B$129="Measured Acoustic Velocity",$B$78="YES"),MAX($B$121*IFERROR(INDEX('Material Assumptions'!$D$2:$D$7,MATCH($B$3,'Material Assumptions'!$A$2:$A$7,0)),0.55),IFERROR(INDEX('Material Assumptions'!$E$2:$E$7,MATCH($B$3,'Material Assumptions'!$A$2:$A$7,0)),3),$B$29),IF($B$129="Direct Wall Thickness / NDT",IF($B$7&lt;=0,"",IF(AND(ISNUMBER($B$131),$B$131&gt;0),MAX($B$131*IFERROR(INDEX('Material Assumptions'!$D$2:$D$7,MATCH($B$3,'Material Assumptions'!$A$2:$A$7,0)),0.55),IFERROR(INDEX('Material Assumptions'!$E$2:$E$7,MATCH($B$3,'Material Assumptions'!$A$2:$A$7,0)),3),$B$29),MAX(IFERROR(INDEX('Material Assumptions'!$E$2:$E$7,MATCH($B$3,'Material Assumptions'!$A$2:$A$7,0)),3),$B$29))),""))</f>
        <v/>
      </c>
      <c r="C150" t="s">
        <v>2482</v>
      </c>
    </row>
    <row r="151" spans="1:3">
      <c r="A151" t="s">
        <v>2483</v>
      </c>
      <c r="B151" s="109" t="str">
        <f>IF(OR($B$129&lt;&gt;"Direct Wall Thickness / NDT",$B$7&lt;=0,NOT(ISNUMBER($B$131)),$B$131&lt;=0,NOT(ISNUMBER($B$150)),$B$150&lt;=0,$B$131&lt;=$B$150),"",MAX(0,MIN(1,($B$7-$B$150)/($B$131-$B$150))))</f>
        <v/>
      </c>
      <c r="C151" t="s">
        <v>2484</v>
      </c>
    </row>
    <row r="152" spans="1:3">
      <c r="A152" t="s">
        <v>2485</v>
      </c>
      <c r="B152" s="109" t="str">
        <f>IF($B$129&lt;&gt;"Direct Wall Thickness / NDT","NOT ACTIVE",IF($B$7&lt;=0,"NOT ASSESSED",IF(OR(NOT(ISNUMBER($B$150)),$B$150&lt;=0),"NOT ASSESSED",IF($B$19&lt;=$B$150,"RED",IF(AND(ISNUMBER($B$131),$B$131&gt;0),IF($B$151&lt;=0.25,"RED",IF($B$151&lt;=0.5,"AMBER","GREEN")),IF($B$138&lt;='Assumptions &amp; Method'!$B$7,"RED",IF($B$138&lt;='Assumptions &amp; Method'!$B$8,"AMBER","GREEN")))))))</f>
        <v>NOT ACTIVE</v>
      </c>
      <c r="C152" t="s">
        <v>2486</v>
      </c>
    </row>
    <row r="153" spans="1:3">
      <c r="A153" t="s">
        <v>2487</v>
      </c>
      <c r="B153" s="109" t="str">
        <f>IF($B$129="Direct Wall Thickness / NDT",IF($B$7&lt;=0,"AMBER",IF(OR($B$152="RED",$B$115&lt;='Assumptions &amp; Method'!$B$7),"RED",IF(OR($B$152="AMBER",$B$115&lt;='Assumptions &amp; Method'!$B$8),"AMBER","GREEN"))),IF($B$115&lt;='Assumptions &amp; Method'!$B$7,"RED",IF($B$115&lt;='Assumptions &amp; Method'!$B$8,"AMBER","GREEN")))</f>
        <v>GREEN</v>
      </c>
      <c r="C153" t="s">
        <v>2488</v>
      </c>
    </row>
    <row r="154" spans="1:3">
      <c r="A154" t="s">
        <v>2489</v>
      </c>
      <c r="B154" s="109">
        <f>IF(AND(ISNUMBER($B$45),$B$45&gt;'Assumptions &amp; Method'!$K$14),MAX('Assumptions &amp; Method'!$K$19,'Assumptions &amp; Method'!$K$7-('Assumptions &amp; Method'!$K$7-'Assumptions &amp; Method'!$K$19)*MIN(1,($B$45-'Assumptions &amp; Method'!$K$14)/('Assumptions &amp; Method'!$K$20-'Assumptions &amp; Method'!$K$14))),'Assumptions &amp; Method'!$K$7)</f>
        <v>0.75</v>
      </c>
      <c r="C154" t="s">
        <v>2490</v>
      </c>
    </row>
    <row r="155" spans="1:3">
      <c r="A155" t="s">
        <v>2491</v>
      </c>
      <c r="B155" s="109" t="str">
        <f>IF(OR(AND($B$42="Auto from failure rate",$B$46="Severe"),$B$42="Severe"),IF($L$30=$B$154,"PASS","FAIL"),"NOT ACTIVE")</f>
        <v>NOT ACTIVE</v>
      </c>
      <c r="C155" t="s">
        <v>2492</v>
      </c>
    </row>
    <row r="156" spans="1:3">
      <c r="A156" t="s">
        <v>2493</v>
      </c>
      <c r="B156" s="109" t="str">
        <f>IF($B$13="Auto",IF($B$136&gt;='Assumptions &amp; Method'!$F$24,"PASS","FAIL"),"NOT ACTIVE")</f>
        <v>PASS</v>
      </c>
      <c r="C156" t="s">
        <v>2494</v>
      </c>
    </row>
    <row r="157" spans="1:3">
      <c r="A157" t="s">
        <v>2495</v>
      </c>
      <c r="B157" s="109" t="str">
        <f>IF(COUNTIF($AU$2:$AU$7,$B$4)&gt;0,"VALID","INVALID")</f>
        <v>VALID</v>
      </c>
      <c r="C157" t="s">
        <v>2496</v>
      </c>
    </row>
    <row r="158" spans="1:3">
      <c r="A158" t="s">
        <v>2497</v>
      </c>
      <c r="B158" s="109" t="str">
        <f>IF(AND(ISNUMBER($B$5),COUNTIF($AO$2:$AO$40,$B$5)&gt;0),"VALID","INVALID")</f>
        <v>VALID</v>
      </c>
      <c r="C158" t="s">
        <v>2498</v>
      </c>
    </row>
    <row r="159" spans="1:3">
      <c r="A159" t="s">
        <v>2499</v>
      </c>
      <c r="B159" s="109" t="str">
        <f>IF(AND($B$157="VALID",$B$158="VALID"),"VALID","INVALID")</f>
        <v>VALID</v>
      </c>
      <c r="C159" t="s">
        <v>2500</v>
      </c>
    </row>
    <row r="160" spans="1:3">
      <c r="A160" t="s">
        <v>2501</v>
      </c>
      <c r="B160" s="109" t="str">
        <f>IF(AND(OR(Dashboard!$B$2="Metric",Dashboard!$B$2="Imperial"),OR(Dashboard!$B$6="Engineering Best-Practice Assessment",Dashboard!$B$6="Measured Acoustic Velocity",Dashboard!$B$6="Direct Wall Thickness / NDT"),OR($B$10="Low",$B$10="Moderate",$B$10="High",$B$10="Severe",$B$10="Unknown - Average",$B$10="Unknown - Worst Case"),OR($B$13="Auto",$B$13="Good / confirmed",$B$13="Moderate",$B$13="Poor",$B$13="Very poor"),OR($B$37="Low",$B$37="Moderate",$B$37="High",$B$37="Severe",$B$37="Unknown - Average",$B$37="Unknown - Worst Case"),OR($B$38="Good",$B$38="Average",$B$38="Poor",$B$38="Unknown - Average",$B$38="Unknown - Worst Case"),OR($B$42="Auto from failure rate",$B$42="Nil",$B$42="Minimal",$B$42="Average",$B$42="Severe"),OR($B$108="Continuous supply",$B$108="Intermittent supply")),"VALID","INVALID")</f>
        <v>VALID</v>
      </c>
      <c r="C160" t="s">
        <v>2502</v>
      </c>
    </row>
    <row r="161" spans="1:3">
      <c r="A161" t="s">
        <v>2503</v>
      </c>
      <c r="B161" s="109" t="str">
        <f>IF(NOT(ISNUMBER(Dashboard!$B$16)),"INVALID",IF(AND(Dashboard!$B$16=INT(Dashboard!$B$16),Dashboard!$B$16&gt;=1,Dashboard!$B$16&lt;=5),"VALID","INVALID"))</f>
        <v>VALID</v>
      </c>
      <c r="C161" t="s">
        <v>2504</v>
      </c>
    </row>
    <row r="162" spans="1:3">
      <c r="A162" t="s">
        <v>2505</v>
      </c>
      <c r="B162" s="109" t="str">
        <f>IF($I$2="Metallic","VALID",IF(AND(ISNUMBER($B$36),$B$36&gt;0),"VALID","INVALID"))</f>
        <v>VALID</v>
      </c>
      <c r="C162" t="s">
        <v>2506</v>
      </c>
    </row>
    <row r="163" spans="1:3">
      <c r="A163" t="s">
        <v>2507</v>
      </c>
      <c r="B163" s="109" t="str">
        <f>IF(AND($B$160="VALID",$B$161="VALID",$B$162="VALID"),"VALID","INVALID")</f>
        <v>VALID</v>
      </c>
      <c r="C163" t="s">
        <v>2508</v>
      </c>
    </row>
  </sheetData>
  <sheetProtection password="FE3F" sheet="1" objects="1" scenarios="1" formatRows="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54"/>
  <sheetViews>
    <sheetView workbookViewId="0"/>
  </sheetViews>
  <sheetFormatPr defaultRowHeight="14.25"/>
  <cols>
    <col min="1" max="1" width="34" customWidth="1"/>
    <col min="2" max="2" width="24" customWidth="1"/>
    <col min="3" max="3" width="58" customWidth="1"/>
    <col min="4" max="4" width="48" customWidth="1"/>
    <col min="5" max="5" width="34" customWidth="1"/>
    <col min="6" max="6" width="12" customWidth="1"/>
    <col min="7" max="7" width="24" customWidth="1"/>
    <col min="8" max="8" width="62" customWidth="1"/>
    <col min="10" max="10" width="28" customWidth="1"/>
    <col min="11" max="12" width="20" customWidth="1"/>
    <col min="13" max="13" width="55" customWidth="1"/>
  </cols>
  <sheetData>
    <row r="1" spans="1:13" ht="27.4" customHeight="1">
      <c r="A1" s="5" t="s">
        <v>2509</v>
      </c>
      <c r="B1" s="5"/>
      <c r="C1" s="5"/>
      <c r="D1" s="1"/>
      <c r="E1" s="1"/>
      <c r="F1" s="1"/>
      <c r="G1" s="1"/>
      <c r="H1" s="1"/>
      <c r="I1" s="1"/>
      <c r="J1" s="1"/>
      <c r="K1" s="1"/>
      <c r="L1" s="1"/>
      <c r="M1" s="1"/>
    </row>
    <row r="2" spans="1:13">
      <c r="A2" s="1"/>
      <c r="B2" s="1"/>
      <c r="C2" s="1"/>
      <c r="D2" s="1"/>
      <c r="E2" s="1"/>
      <c r="F2" s="1"/>
      <c r="G2" s="1"/>
      <c r="H2" s="1"/>
      <c r="I2" s="1"/>
      <c r="J2" s="1"/>
      <c r="K2" s="1"/>
      <c r="L2" s="1"/>
      <c r="M2" s="1"/>
    </row>
    <row r="3" spans="1:13" ht="17.649999999999999" customHeight="1">
      <c r="A3" s="5" t="s">
        <v>2510</v>
      </c>
      <c r="B3" s="5" t="s">
        <v>2139</v>
      </c>
      <c r="C3" s="5" t="s">
        <v>2511</v>
      </c>
      <c r="D3" s="1"/>
      <c r="E3" s="5" t="s">
        <v>2512</v>
      </c>
      <c r="F3" s="5" t="s">
        <v>2513</v>
      </c>
      <c r="G3" s="5" t="s">
        <v>2514</v>
      </c>
      <c r="H3" s="5" t="s">
        <v>2515</v>
      </c>
      <c r="I3" s="1"/>
      <c r="J3" s="5" t="s">
        <v>2516</v>
      </c>
      <c r="K3" s="5" t="s">
        <v>2517</v>
      </c>
      <c r="L3" s="5" t="s">
        <v>2518</v>
      </c>
      <c r="M3" s="5" t="s">
        <v>2519</v>
      </c>
    </row>
    <row r="4" spans="1:13" ht="41.1" customHeight="1">
      <c r="A4" s="1" t="s">
        <v>2520</v>
      </c>
      <c r="B4" s="1">
        <v>2.1800000000000002</v>
      </c>
      <c r="C4" s="1" t="s">
        <v>2521</v>
      </c>
      <c r="D4" s="1"/>
      <c r="E4" s="1" t="s">
        <v>21</v>
      </c>
      <c r="F4" s="1">
        <v>75</v>
      </c>
      <c r="G4" s="1" t="s">
        <v>2522</v>
      </c>
      <c r="H4" s="1" t="s">
        <v>2523</v>
      </c>
      <c r="I4" s="1"/>
      <c r="J4" s="1" t="s">
        <v>372</v>
      </c>
      <c r="K4" s="1">
        <v>1</v>
      </c>
      <c r="L4" s="1">
        <v>0</v>
      </c>
      <c r="M4" s="1" t="s">
        <v>2524</v>
      </c>
    </row>
    <row r="5" spans="1:13" ht="41.1" customHeight="1">
      <c r="A5" s="1" t="s">
        <v>2525</v>
      </c>
      <c r="B5" s="1">
        <v>998.2</v>
      </c>
      <c r="C5" s="1" t="s">
        <v>2526</v>
      </c>
      <c r="D5" s="1"/>
      <c r="E5" s="1" t="s">
        <v>2145</v>
      </c>
      <c r="F5" s="1">
        <v>75</v>
      </c>
      <c r="G5" s="1" t="s">
        <v>2522</v>
      </c>
      <c r="H5" s="1" t="s">
        <v>2523</v>
      </c>
      <c r="I5" s="1"/>
      <c r="J5" s="1" t="s">
        <v>378</v>
      </c>
      <c r="K5" s="1">
        <v>0.97</v>
      </c>
      <c r="L5" s="1">
        <v>0.05</v>
      </c>
      <c r="M5" s="1" t="s">
        <v>2527</v>
      </c>
    </row>
    <row r="6" spans="1:13" ht="41.1" customHeight="1">
      <c r="A6" s="1" t="s">
        <v>2528</v>
      </c>
      <c r="B6" s="1">
        <v>9.8066499999999994</v>
      </c>
      <c r="C6" s="1" t="s">
        <v>2529</v>
      </c>
      <c r="D6" s="1"/>
      <c r="E6" s="1" t="s">
        <v>2146</v>
      </c>
      <c r="F6" s="1">
        <v>75</v>
      </c>
      <c r="G6" s="1" t="s">
        <v>2522</v>
      </c>
      <c r="H6" s="1" t="s">
        <v>2523</v>
      </c>
      <c r="I6" s="1"/>
      <c r="J6" s="1" t="s">
        <v>383</v>
      </c>
      <c r="K6" s="1">
        <v>0.9</v>
      </c>
      <c r="L6" s="1">
        <v>0.12</v>
      </c>
      <c r="M6" s="1" t="s">
        <v>2530</v>
      </c>
    </row>
    <row r="7" spans="1:13" ht="54.75" customHeight="1">
      <c r="A7" s="1" t="s">
        <v>2531</v>
      </c>
      <c r="B7" s="1">
        <v>5</v>
      </c>
      <c r="C7" s="1" t="s">
        <v>2532</v>
      </c>
      <c r="D7" s="1"/>
      <c r="E7" s="1" t="s">
        <v>927</v>
      </c>
      <c r="F7" s="1">
        <v>70</v>
      </c>
      <c r="G7" s="1" t="s">
        <v>2533</v>
      </c>
      <c r="H7" s="1" t="s">
        <v>2534</v>
      </c>
      <c r="I7" s="1"/>
      <c r="J7" s="1" t="s">
        <v>387</v>
      </c>
      <c r="K7" s="1">
        <v>0.75</v>
      </c>
      <c r="L7" s="1">
        <v>0.25</v>
      </c>
      <c r="M7" s="1" t="s">
        <v>2535</v>
      </c>
    </row>
    <row r="8" spans="1:13" ht="41.1" customHeight="1">
      <c r="A8" s="1" t="s">
        <v>2536</v>
      </c>
      <c r="B8" s="1">
        <v>10</v>
      </c>
      <c r="C8" s="1" t="s">
        <v>2537</v>
      </c>
      <c r="D8" s="1"/>
      <c r="E8" s="1" t="s">
        <v>2147</v>
      </c>
      <c r="F8" s="1">
        <v>50</v>
      </c>
      <c r="G8" s="1" t="s">
        <v>2538</v>
      </c>
      <c r="H8" s="1" t="s">
        <v>2534</v>
      </c>
      <c r="I8" s="1"/>
      <c r="J8" s="1" t="s">
        <v>63</v>
      </c>
      <c r="K8" s="1" t="s">
        <v>2539</v>
      </c>
      <c r="L8" s="1"/>
      <c r="M8" s="1" t="s">
        <v>2540</v>
      </c>
    </row>
    <row r="9" spans="1:13" ht="95.65" customHeight="1">
      <c r="A9" s="1" t="s">
        <v>2541</v>
      </c>
      <c r="B9" s="1">
        <v>15</v>
      </c>
      <c r="C9" s="1" t="s">
        <v>2314</v>
      </c>
      <c r="D9" s="1"/>
      <c r="E9" s="1" t="s">
        <v>2148</v>
      </c>
      <c r="F9" s="1">
        <v>75</v>
      </c>
      <c r="G9" s="1" t="s">
        <v>2542</v>
      </c>
      <c r="H9" s="1" t="s">
        <v>2523</v>
      </c>
      <c r="I9" s="1"/>
      <c r="J9" s="1" t="s">
        <v>560</v>
      </c>
      <c r="K9" s="1" t="s">
        <v>2543</v>
      </c>
      <c r="L9" s="1"/>
      <c r="M9" s="1" t="s">
        <v>2544</v>
      </c>
    </row>
    <row r="10" spans="1:13">
      <c r="A10" s="1" t="s">
        <v>2545</v>
      </c>
      <c r="B10" s="1">
        <v>1.4999999999999999E-2</v>
      </c>
      <c r="C10" s="1" t="s">
        <v>2413</v>
      </c>
      <c r="D10" s="1"/>
      <c r="E10" s="1"/>
      <c r="F10" s="1"/>
      <c r="G10" s="1"/>
      <c r="H10" s="1"/>
      <c r="I10" s="1"/>
      <c r="J10" s="1"/>
      <c r="K10" s="1"/>
      <c r="L10" s="1"/>
      <c r="M10" s="1"/>
    </row>
    <row r="11" spans="1:13" ht="27.4" customHeight="1">
      <c r="A11" s="1" t="s">
        <v>2546</v>
      </c>
      <c r="B11" s="1">
        <v>0.02</v>
      </c>
      <c r="C11" s="1" t="s">
        <v>2413</v>
      </c>
      <c r="D11" s="1"/>
      <c r="E11" s="1"/>
      <c r="F11" s="1"/>
      <c r="G11" s="1"/>
      <c r="H11" s="1"/>
      <c r="I11" s="1"/>
      <c r="J11" s="5" t="s">
        <v>2547</v>
      </c>
      <c r="K11" s="5" t="s">
        <v>2548</v>
      </c>
      <c r="L11" s="5" t="s">
        <v>2549</v>
      </c>
      <c r="M11" s="5" t="s">
        <v>2550</v>
      </c>
    </row>
    <row r="12" spans="1:13" ht="6.2" customHeight="1">
      <c r="A12" s="1" t="s">
        <v>2551</v>
      </c>
      <c r="B12" s="1">
        <v>2</v>
      </c>
      <c r="C12" s="1" t="s">
        <v>2552</v>
      </c>
      <c r="D12" s="1"/>
      <c r="E12" s="5" t="s">
        <v>2553</v>
      </c>
      <c r="F12" s="5" t="s">
        <v>2554</v>
      </c>
      <c r="G12" s="5" t="s">
        <v>2555</v>
      </c>
      <c r="H12" s="1" t="s">
        <v>2556</v>
      </c>
      <c r="I12" s="1"/>
      <c r="J12" s="1" t="s">
        <v>2557</v>
      </c>
      <c r="K12" s="1">
        <v>0</v>
      </c>
      <c r="L12" s="1" t="s">
        <v>372</v>
      </c>
      <c r="M12" s="1" t="s">
        <v>2558</v>
      </c>
    </row>
    <row r="13" spans="1:13" ht="23.45" customHeight="1">
      <c r="A13" s="1" t="s">
        <v>2559</v>
      </c>
      <c r="B13" s="1">
        <v>1</v>
      </c>
      <c r="C13" s="1" t="s">
        <v>2413</v>
      </c>
      <c r="D13" s="1"/>
      <c r="E13" s="1" t="s">
        <v>2560</v>
      </c>
      <c r="F13" s="1">
        <v>0.85</v>
      </c>
      <c r="G13" s="1" t="s">
        <v>2561</v>
      </c>
      <c r="H13" s="1" t="s">
        <v>2562</v>
      </c>
      <c r="I13" s="1"/>
      <c r="J13" s="1" t="s">
        <v>2563</v>
      </c>
      <c r="K13" s="1">
        <v>12.5</v>
      </c>
      <c r="L13" s="1" t="s">
        <v>378</v>
      </c>
      <c r="M13" s="1" t="s">
        <v>2564</v>
      </c>
    </row>
    <row r="14" spans="1:13" ht="11.85" customHeight="1">
      <c r="A14" s="1" t="s">
        <v>2565</v>
      </c>
      <c r="B14" s="1" t="s">
        <v>2566</v>
      </c>
      <c r="C14" s="1" t="s">
        <v>2567</v>
      </c>
      <c r="D14" s="1"/>
      <c r="E14" s="1" t="s">
        <v>2568</v>
      </c>
      <c r="F14" s="1">
        <v>1</v>
      </c>
      <c r="G14" s="1" t="s">
        <v>2569</v>
      </c>
      <c r="H14" s="1" t="s">
        <v>2562</v>
      </c>
      <c r="I14" s="1"/>
      <c r="J14" s="1" t="s">
        <v>2570</v>
      </c>
      <c r="K14" s="1">
        <v>20</v>
      </c>
      <c r="L14" s="1" t="s">
        <v>383</v>
      </c>
      <c r="M14" s="1" t="s">
        <v>2571</v>
      </c>
    </row>
    <row r="15" spans="1:13" ht="6.2" customHeight="1">
      <c r="A15" s="5" t="s">
        <v>2572</v>
      </c>
      <c r="B15" s="5" t="s">
        <v>2517</v>
      </c>
      <c r="C15" s="5" t="s">
        <v>2573</v>
      </c>
      <c r="D15" s="1"/>
      <c r="E15" s="1" t="s">
        <v>2574</v>
      </c>
      <c r="F15" s="1">
        <v>1.1499999999999999</v>
      </c>
      <c r="G15" s="1" t="s">
        <v>2575</v>
      </c>
      <c r="H15" s="1" t="s">
        <v>2562</v>
      </c>
      <c r="I15" s="1"/>
      <c r="J15" s="1" t="s">
        <v>2576</v>
      </c>
      <c r="K15" s="1">
        <v>20</v>
      </c>
      <c r="L15" s="1" t="s">
        <v>2577</v>
      </c>
      <c r="M15" s="1" t="s">
        <v>2578</v>
      </c>
    </row>
    <row r="16" spans="1:13" ht="27.4" customHeight="1">
      <c r="A16" s="1" t="s">
        <v>2579</v>
      </c>
      <c r="B16" s="2">
        <v>1</v>
      </c>
      <c r="C16" s="1" t="s">
        <v>2580</v>
      </c>
      <c r="D16" s="1"/>
      <c r="E16" s="1" t="s">
        <v>2581</v>
      </c>
      <c r="F16" s="1">
        <v>1.35</v>
      </c>
      <c r="G16" s="1" t="s">
        <v>2582</v>
      </c>
      <c r="H16" s="1" t="s">
        <v>2562</v>
      </c>
      <c r="I16" s="1"/>
      <c r="J16" s="1" t="s">
        <v>560</v>
      </c>
      <c r="K16" s="1" t="s">
        <v>2583</v>
      </c>
      <c r="L16" s="1" t="s">
        <v>387</v>
      </c>
      <c r="M16" s="1" t="s">
        <v>2584</v>
      </c>
    </row>
    <row r="17" spans="1:13" ht="27.4" customHeight="1">
      <c r="A17" s="1" t="s">
        <v>2585</v>
      </c>
      <c r="B17" s="2">
        <v>0.85</v>
      </c>
      <c r="C17" s="1" t="s">
        <v>2586</v>
      </c>
      <c r="D17" s="1"/>
      <c r="E17" s="1" t="s">
        <v>2587</v>
      </c>
      <c r="F17" s="1">
        <v>1.0874999999999999</v>
      </c>
      <c r="G17" s="1" t="s">
        <v>2588</v>
      </c>
      <c r="H17" s="1" t="s">
        <v>24</v>
      </c>
      <c r="I17" s="1"/>
      <c r="J17" s="1"/>
      <c r="K17" s="1"/>
      <c r="L17" s="1"/>
      <c r="M17" s="1"/>
    </row>
    <row r="18" spans="1:13" ht="27.4" customHeight="1">
      <c r="A18" s="1" t="s">
        <v>2589</v>
      </c>
      <c r="B18" s="2">
        <v>0.7</v>
      </c>
      <c r="C18" s="1" t="s">
        <v>2590</v>
      </c>
      <c r="D18" s="1"/>
      <c r="E18" s="1" t="s">
        <v>2591</v>
      </c>
      <c r="F18" s="1">
        <v>1.35</v>
      </c>
      <c r="G18" s="1" t="s">
        <v>2592</v>
      </c>
      <c r="H18" s="1" t="s">
        <v>2194</v>
      </c>
      <c r="I18" s="1"/>
      <c r="J18" s="1" t="s">
        <v>2593</v>
      </c>
      <c r="K18" s="1" t="s">
        <v>2139</v>
      </c>
      <c r="L18" s="1" t="s">
        <v>2594</v>
      </c>
      <c r="M18" s="1" t="s">
        <v>2555</v>
      </c>
    </row>
    <row r="19" spans="1:13" ht="27.4" customHeight="1">
      <c r="A19" s="1" t="s">
        <v>2595</v>
      </c>
      <c r="B19" s="2">
        <v>0.55000000000000004</v>
      </c>
      <c r="C19" s="1" t="s">
        <v>2596</v>
      </c>
      <c r="D19" s="1"/>
      <c r="E19" s="1" t="s">
        <v>2597</v>
      </c>
      <c r="F19" s="1">
        <v>50</v>
      </c>
      <c r="G19" s="1" t="s">
        <v>2302</v>
      </c>
      <c r="H19" s="1" t="s">
        <v>2598</v>
      </c>
      <c r="I19" s="1"/>
      <c r="J19" s="1" t="s">
        <v>2599</v>
      </c>
      <c r="K19" s="1">
        <v>0.6</v>
      </c>
      <c r="L19" s="1" t="s">
        <v>2600</v>
      </c>
      <c r="M19" s="1" t="s">
        <v>2601</v>
      </c>
    </row>
    <row r="20" spans="1:13" ht="68.45" customHeight="1">
      <c r="A20" s="1" t="s">
        <v>38</v>
      </c>
      <c r="B20" s="1" t="s">
        <v>2602</v>
      </c>
      <c r="C20" s="1" t="s">
        <v>2603</v>
      </c>
      <c r="D20" s="1"/>
      <c r="E20" s="5" t="s">
        <v>2604</v>
      </c>
      <c r="F20" s="5" t="s">
        <v>2554</v>
      </c>
      <c r="G20" s="5" t="s">
        <v>2605</v>
      </c>
      <c r="H20" s="5" t="s">
        <v>2555</v>
      </c>
      <c r="I20" s="1"/>
      <c r="J20" s="1" t="s">
        <v>2606</v>
      </c>
      <c r="K20" s="1">
        <v>80</v>
      </c>
      <c r="L20" s="1" t="s">
        <v>2539</v>
      </c>
      <c r="M20" s="1" t="s">
        <v>2607</v>
      </c>
    </row>
    <row r="21" spans="1:13" ht="41.1" customHeight="1">
      <c r="A21" s="1"/>
      <c r="B21" s="1"/>
      <c r="C21" s="1"/>
      <c r="D21" s="1"/>
      <c r="E21" s="1" t="s">
        <v>2608</v>
      </c>
      <c r="F21" s="1">
        <v>1</v>
      </c>
      <c r="G21" s="1" t="s">
        <v>2609</v>
      </c>
      <c r="H21" s="1" t="s">
        <v>2610</v>
      </c>
      <c r="I21" s="1"/>
      <c r="J21" s="1" t="s">
        <v>560</v>
      </c>
      <c r="K21" s="1" t="s">
        <v>2611</v>
      </c>
      <c r="L21" s="1" t="s">
        <v>2612</v>
      </c>
      <c r="M21" s="1" t="s">
        <v>2613</v>
      </c>
    </row>
    <row r="22" spans="1:13" ht="27.4" customHeight="1">
      <c r="A22" s="5" t="s">
        <v>2614</v>
      </c>
      <c r="B22" s="5" t="s">
        <v>2139</v>
      </c>
      <c r="C22" s="5" t="s">
        <v>2555</v>
      </c>
      <c r="D22" s="1"/>
      <c r="E22" s="1" t="s">
        <v>2615</v>
      </c>
      <c r="F22" s="1">
        <v>0.92</v>
      </c>
      <c r="G22" s="1" t="s">
        <v>2609</v>
      </c>
      <c r="H22" s="1" t="s">
        <v>2616</v>
      </c>
      <c r="I22" s="1"/>
      <c r="J22" s="1"/>
      <c r="K22" s="1"/>
      <c r="L22" s="1"/>
      <c r="M22" s="1"/>
    </row>
    <row r="23" spans="1:13">
      <c r="A23" s="1" t="s">
        <v>2617</v>
      </c>
      <c r="B23" s="1">
        <v>80</v>
      </c>
      <c r="C23" s="1" t="s">
        <v>2618</v>
      </c>
      <c r="D23" s="1"/>
      <c r="E23" s="1" t="s">
        <v>2619</v>
      </c>
      <c r="F23" s="1">
        <v>0.8</v>
      </c>
      <c r="G23" s="1" t="s">
        <v>2609</v>
      </c>
      <c r="H23" s="1" t="s">
        <v>2620</v>
      </c>
      <c r="I23" s="1"/>
      <c r="J23" s="1"/>
      <c r="K23" s="1"/>
      <c r="L23" s="1"/>
      <c r="M23" s="1"/>
    </row>
    <row r="24" spans="1:13">
      <c r="A24" s="1" t="s">
        <v>2621</v>
      </c>
      <c r="B24" s="1">
        <v>100</v>
      </c>
      <c r="C24" s="1" t="s">
        <v>2618</v>
      </c>
      <c r="D24" s="1"/>
      <c r="E24" s="1" t="s">
        <v>2622</v>
      </c>
      <c r="F24" s="1">
        <v>0.65</v>
      </c>
      <c r="G24" s="1" t="s">
        <v>2609</v>
      </c>
      <c r="H24" s="1" t="s">
        <v>2623</v>
      </c>
      <c r="I24" s="1"/>
      <c r="J24" s="1"/>
      <c r="K24" s="1"/>
      <c r="L24" s="1"/>
      <c r="M24" s="1"/>
    </row>
    <row r="25" spans="1:13">
      <c r="A25" s="1" t="s">
        <v>2624</v>
      </c>
      <c r="B25" s="1">
        <v>70</v>
      </c>
      <c r="C25" s="1" t="s">
        <v>2618</v>
      </c>
      <c r="D25" s="1"/>
      <c r="E25" s="1" t="s">
        <v>2625</v>
      </c>
      <c r="F25" s="1">
        <v>1</v>
      </c>
      <c r="G25" s="1" t="s">
        <v>2609</v>
      </c>
      <c r="H25" s="1" t="s">
        <v>2626</v>
      </c>
      <c r="I25" s="1"/>
      <c r="J25" s="1"/>
      <c r="K25" s="1"/>
      <c r="L25" s="1"/>
      <c r="M25" s="1"/>
    </row>
    <row r="26" spans="1:13">
      <c r="A26" s="1" t="s">
        <v>2627</v>
      </c>
      <c r="B26" s="1">
        <v>60</v>
      </c>
      <c r="C26" s="1" t="s">
        <v>2618</v>
      </c>
      <c r="D26" s="1"/>
      <c r="E26" s="1" t="s">
        <v>2628</v>
      </c>
      <c r="F26" s="1">
        <v>0.97</v>
      </c>
      <c r="G26" s="1" t="s">
        <v>2609</v>
      </c>
      <c r="H26" s="1" t="s">
        <v>2629</v>
      </c>
      <c r="I26" s="1"/>
      <c r="J26" s="1"/>
      <c r="K26" s="1"/>
      <c r="L26" s="1"/>
      <c r="M26" s="1"/>
    </row>
    <row r="27" spans="1:13">
      <c r="A27" s="1" t="s">
        <v>2630</v>
      </c>
      <c r="B27" s="1">
        <v>80</v>
      </c>
      <c r="C27" s="1" t="s">
        <v>2618</v>
      </c>
      <c r="D27" s="1"/>
      <c r="E27" s="1" t="s">
        <v>2631</v>
      </c>
      <c r="F27" s="1">
        <v>0.85</v>
      </c>
      <c r="G27" s="1" t="s">
        <v>2609</v>
      </c>
      <c r="H27" s="1" t="s">
        <v>2632</v>
      </c>
      <c r="I27" s="1"/>
      <c r="J27" s="1"/>
      <c r="K27" s="1"/>
      <c r="L27" s="1"/>
      <c r="M27" s="1"/>
    </row>
    <row r="28" spans="1:13">
      <c r="A28" s="1" t="s">
        <v>2633</v>
      </c>
      <c r="B28" s="1">
        <v>75</v>
      </c>
      <c r="C28" s="1" t="s">
        <v>2618</v>
      </c>
      <c r="D28" s="1"/>
      <c r="E28" s="1" t="s">
        <v>2634</v>
      </c>
      <c r="F28" s="1">
        <v>0.94</v>
      </c>
      <c r="G28" s="1" t="s">
        <v>2609</v>
      </c>
      <c r="H28" s="1" t="s">
        <v>2635</v>
      </c>
      <c r="I28" s="1"/>
      <c r="J28" s="1"/>
      <c r="K28" s="1"/>
      <c r="L28" s="1"/>
      <c r="M28" s="1"/>
    </row>
    <row r="29" spans="1:13" ht="54.75" customHeight="1">
      <c r="A29" s="1" t="s">
        <v>560</v>
      </c>
      <c r="B29" s="1" t="s">
        <v>2636</v>
      </c>
      <c r="C29" s="1" t="s">
        <v>2637</v>
      </c>
      <c r="D29" s="1"/>
      <c r="E29" s="1" t="s">
        <v>2638</v>
      </c>
      <c r="F29" s="1">
        <v>0.85</v>
      </c>
      <c r="G29" s="1" t="s">
        <v>2609</v>
      </c>
      <c r="H29" s="1" t="s">
        <v>2639</v>
      </c>
      <c r="I29" s="1"/>
      <c r="J29" s="1"/>
      <c r="K29" s="1"/>
      <c r="L29" s="1"/>
      <c r="M29" s="1"/>
    </row>
    <row r="30" spans="1:13" ht="27.4" customHeight="1">
      <c r="A30" s="1"/>
      <c r="B30" s="1"/>
      <c r="C30" s="1"/>
      <c r="D30" s="1"/>
      <c r="E30" s="1" t="s">
        <v>560</v>
      </c>
      <c r="F30" s="1" t="s">
        <v>2640</v>
      </c>
      <c r="G30" s="1"/>
      <c r="H30" s="1" t="s">
        <v>2641</v>
      </c>
      <c r="I30" s="1"/>
      <c r="J30" s="1"/>
      <c r="K30" s="1"/>
      <c r="L30" s="1"/>
      <c r="M30" s="1"/>
    </row>
    <row r="31" spans="1:13">
      <c r="A31" s="1"/>
      <c r="B31" s="1"/>
      <c r="C31" s="1"/>
      <c r="D31" s="1"/>
      <c r="E31" s="1"/>
      <c r="F31" s="1"/>
      <c r="G31" s="1"/>
      <c r="H31" s="1"/>
      <c r="I31" s="1"/>
      <c r="J31" s="1"/>
      <c r="K31" s="1"/>
      <c r="L31" s="1"/>
      <c r="M31" s="1"/>
    </row>
    <row r="32" spans="1:13" ht="41.1" customHeight="1">
      <c r="A32" s="1"/>
      <c r="B32" s="1"/>
      <c r="C32" s="1"/>
      <c r="D32" s="1"/>
      <c r="E32" s="1" t="s">
        <v>2642</v>
      </c>
      <c r="F32" s="1"/>
      <c r="G32" s="1"/>
      <c r="H32" s="1" t="s">
        <v>2643</v>
      </c>
      <c r="I32" s="1"/>
      <c r="J32" s="1"/>
      <c r="K32" s="1"/>
      <c r="L32" s="1"/>
      <c r="M32" s="1"/>
    </row>
    <row r="33" spans="1:13">
      <c r="A33" s="1"/>
      <c r="B33" s="1"/>
      <c r="C33" s="1"/>
      <c r="D33" s="1"/>
      <c r="E33" s="1"/>
      <c r="F33" s="1"/>
      <c r="G33" s="1"/>
      <c r="H33" s="1"/>
      <c r="I33" s="1"/>
      <c r="J33" s="1"/>
      <c r="K33" s="1"/>
      <c r="L33" s="1"/>
      <c r="M33" s="1"/>
    </row>
    <row r="34" spans="1:13" ht="27.4" customHeight="1">
      <c r="A34" s="1"/>
      <c r="B34" s="1"/>
      <c r="C34" s="1"/>
      <c r="D34" s="1"/>
      <c r="E34" s="5" t="s">
        <v>2644</v>
      </c>
      <c r="F34" s="5" t="s">
        <v>2139</v>
      </c>
      <c r="G34" s="5" t="s">
        <v>2645</v>
      </c>
      <c r="H34" s="5" t="s">
        <v>2555</v>
      </c>
      <c r="I34" s="1"/>
      <c r="J34" s="1"/>
      <c r="K34" s="1"/>
      <c r="L34" s="1"/>
      <c r="M34" s="1"/>
    </row>
    <row r="35" spans="1:13">
      <c r="A35" s="1"/>
      <c r="B35" s="1"/>
      <c r="C35" s="1"/>
      <c r="D35" s="1"/>
      <c r="E35" s="1" t="s">
        <v>2597</v>
      </c>
      <c r="F35" s="1">
        <v>50</v>
      </c>
      <c r="G35" s="1" t="s">
        <v>2302</v>
      </c>
      <c r="H35" s="1" t="s">
        <v>2646</v>
      </c>
      <c r="I35" s="1"/>
      <c r="J35" s="1"/>
      <c r="K35" s="1"/>
      <c r="L35" s="1"/>
      <c r="M35" s="1"/>
    </row>
    <row r="36" spans="1:13" ht="15">
      <c r="A36" s="5" t="s">
        <v>2647</v>
      </c>
      <c r="B36" s="5"/>
      <c r="C36" s="5"/>
      <c r="D36" s="5"/>
      <c r="E36" s="1" t="s">
        <v>2648</v>
      </c>
      <c r="F36" s="1">
        <v>0.12</v>
      </c>
      <c r="G36" s="1" t="s">
        <v>2649</v>
      </c>
      <c r="H36" s="1" t="s">
        <v>2650</v>
      </c>
      <c r="I36" s="1"/>
      <c r="J36" s="1"/>
      <c r="K36" s="1"/>
      <c r="L36" s="1"/>
      <c r="M36" s="1"/>
    </row>
    <row r="37" spans="1:13" ht="27.4" customHeight="1">
      <c r="A37" s="1" t="s">
        <v>2651</v>
      </c>
      <c r="B37" s="1" t="s">
        <v>2652</v>
      </c>
      <c r="C37" s="1" t="s">
        <v>2653</v>
      </c>
      <c r="D37" s="1" t="s">
        <v>2654</v>
      </c>
      <c r="E37" s="1" t="s">
        <v>2655</v>
      </c>
      <c r="F37" s="1">
        <v>0.9</v>
      </c>
      <c r="G37" s="1" t="s">
        <v>2649</v>
      </c>
      <c r="H37" s="1" t="s">
        <v>2656</v>
      </c>
      <c r="I37" s="1"/>
      <c r="J37" s="1"/>
      <c r="K37" s="1"/>
      <c r="L37" s="1"/>
      <c r="M37" s="1"/>
    </row>
    <row r="38" spans="1:13" ht="27.4" customHeight="1">
      <c r="A38" s="1" t="s">
        <v>2657</v>
      </c>
      <c r="B38" s="1" t="s">
        <v>2658</v>
      </c>
      <c r="C38" s="1" t="s">
        <v>2659</v>
      </c>
      <c r="D38" s="1" t="s">
        <v>2660</v>
      </c>
      <c r="E38" s="1" t="s">
        <v>2661</v>
      </c>
      <c r="F38" s="1">
        <v>0.5</v>
      </c>
      <c r="G38" s="1" t="s">
        <v>2649</v>
      </c>
      <c r="H38" s="1" t="s">
        <v>2662</v>
      </c>
      <c r="I38" s="1"/>
      <c r="J38" s="1"/>
      <c r="K38" s="1"/>
      <c r="L38" s="1"/>
      <c r="M38" s="1"/>
    </row>
    <row r="39" spans="1:13" ht="27.4" customHeight="1">
      <c r="A39" s="1" t="s">
        <v>2663</v>
      </c>
      <c r="B39" s="1" t="s">
        <v>2664</v>
      </c>
      <c r="C39" s="1" t="s">
        <v>2665</v>
      </c>
      <c r="D39" s="1" t="s">
        <v>2666</v>
      </c>
      <c r="E39" s="1" t="s">
        <v>2667</v>
      </c>
      <c r="F39" s="1">
        <v>0.35</v>
      </c>
      <c r="G39" s="1" t="s">
        <v>2649</v>
      </c>
      <c r="H39" s="1" t="s">
        <v>2668</v>
      </c>
      <c r="I39" s="1"/>
      <c r="J39" s="1"/>
      <c r="K39" s="1"/>
      <c r="L39" s="1"/>
      <c r="M39" s="1"/>
    </row>
    <row r="40" spans="1:13" ht="41.1" customHeight="1">
      <c r="A40" s="1" t="s">
        <v>2669</v>
      </c>
      <c r="B40" s="1" t="s">
        <v>2670</v>
      </c>
      <c r="C40" s="1" t="s">
        <v>2195</v>
      </c>
      <c r="D40" s="1"/>
      <c r="E40" s="1" t="s">
        <v>2671</v>
      </c>
      <c r="F40" s="1">
        <v>0.35</v>
      </c>
      <c r="G40" s="1" t="s">
        <v>2649</v>
      </c>
      <c r="H40" s="1" t="s">
        <v>2672</v>
      </c>
      <c r="I40" s="1"/>
      <c r="J40" s="1"/>
      <c r="K40" s="1"/>
      <c r="L40" s="1"/>
      <c r="M40" s="1"/>
    </row>
    <row r="41" spans="1:13" ht="27.4" customHeight="1">
      <c r="A41" s="1" t="s">
        <v>2669</v>
      </c>
      <c r="B41" s="1" t="s">
        <v>2673</v>
      </c>
      <c r="C41" s="1" t="s">
        <v>2195</v>
      </c>
      <c r="D41" s="1"/>
      <c r="E41" s="1" t="s">
        <v>2674</v>
      </c>
      <c r="F41" s="1">
        <v>2</v>
      </c>
      <c r="G41" s="1" t="s">
        <v>2675</v>
      </c>
      <c r="H41" s="1" t="s">
        <v>2676</v>
      </c>
      <c r="I41" s="1"/>
      <c r="J41" s="1"/>
      <c r="K41" s="1"/>
      <c r="L41" s="1"/>
      <c r="M41" s="1"/>
    </row>
    <row r="42" spans="1:13" ht="11.85" customHeight="1">
      <c r="A42" s="1" t="s">
        <v>2669</v>
      </c>
      <c r="B42" s="1" t="s">
        <v>1344</v>
      </c>
      <c r="C42" s="1" t="s">
        <v>2208</v>
      </c>
      <c r="D42" s="1"/>
      <c r="E42" s="1" t="s">
        <v>2677</v>
      </c>
      <c r="F42" s="1" t="s">
        <v>2678</v>
      </c>
      <c r="G42" s="1" t="s">
        <v>2679</v>
      </c>
      <c r="H42" s="1" t="s">
        <v>2680</v>
      </c>
      <c r="I42" s="1"/>
      <c r="J42" s="1"/>
      <c r="K42" s="1"/>
      <c r="L42" s="1"/>
      <c r="M42" s="1"/>
    </row>
    <row r="43" spans="1:13" ht="27.4" customHeight="1">
      <c r="A43" s="1"/>
      <c r="B43" s="1"/>
      <c r="C43" s="1"/>
      <c r="D43" s="1"/>
      <c r="E43" s="1" t="s">
        <v>2681</v>
      </c>
      <c r="F43" s="1" t="s">
        <v>2682</v>
      </c>
      <c r="G43" s="1"/>
      <c r="H43" s="1" t="s">
        <v>2683</v>
      </c>
      <c r="I43" s="1"/>
      <c r="J43" s="1"/>
      <c r="K43" s="1"/>
      <c r="L43" s="1"/>
      <c r="M43" s="1"/>
    </row>
    <row r="44" spans="1:13">
      <c r="A44" s="1"/>
      <c r="B44" s="1"/>
      <c r="C44" s="1"/>
      <c r="D44" s="1"/>
      <c r="E44" s="1"/>
      <c r="F44" s="1"/>
      <c r="G44" s="1"/>
      <c r="H44" s="1"/>
      <c r="I44" s="1"/>
      <c r="J44" s="1"/>
      <c r="K44" s="1"/>
      <c r="L44" s="1"/>
      <c r="M44" s="1"/>
    </row>
    <row r="45" spans="1:13">
      <c r="A45" s="1"/>
      <c r="B45" s="1"/>
      <c r="C45" s="1"/>
      <c r="D45" s="1"/>
      <c r="E45" s="1"/>
      <c r="F45" s="1"/>
      <c r="G45" s="1"/>
      <c r="H45" s="1"/>
      <c r="I45" s="1"/>
      <c r="J45" s="1"/>
      <c r="K45" s="1"/>
      <c r="L45" s="1"/>
      <c r="M45" s="1"/>
    </row>
    <row r="46" spans="1:13" ht="30">
      <c r="A46" s="1"/>
      <c r="B46" s="1"/>
      <c r="C46" s="1"/>
      <c r="D46" s="1"/>
      <c r="E46" s="5" t="s">
        <v>2684</v>
      </c>
      <c r="F46" s="5" t="s">
        <v>2685</v>
      </c>
      <c r="G46" s="5" t="s">
        <v>2686</v>
      </c>
      <c r="H46" s="1"/>
      <c r="I46" s="1"/>
      <c r="J46" s="1"/>
      <c r="K46" s="1"/>
      <c r="L46" s="1"/>
      <c r="M46" s="1"/>
    </row>
    <row r="47" spans="1:13">
      <c r="A47" s="1"/>
      <c r="B47" s="1"/>
      <c r="C47" s="1"/>
      <c r="D47" s="1"/>
      <c r="E47" s="1" t="s">
        <v>32</v>
      </c>
      <c r="F47" s="1">
        <v>1</v>
      </c>
      <c r="G47" s="1">
        <v>0</v>
      </c>
      <c r="H47" s="1"/>
      <c r="I47" s="1"/>
      <c r="J47" s="1"/>
      <c r="K47" s="1"/>
      <c r="L47" s="1"/>
      <c r="M47" s="1"/>
    </row>
    <row r="48" spans="1:13">
      <c r="A48" s="1"/>
      <c r="B48" s="1"/>
      <c r="C48" s="1"/>
      <c r="D48" s="1"/>
      <c r="E48" s="1" t="s">
        <v>2585</v>
      </c>
      <c r="F48" s="1">
        <v>0.98</v>
      </c>
      <c r="G48" s="1">
        <v>0.25</v>
      </c>
      <c r="H48" s="1"/>
      <c r="I48" s="1"/>
      <c r="J48" s="1"/>
      <c r="K48" s="1"/>
      <c r="L48" s="1"/>
      <c r="M48" s="1"/>
    </row>
    <row r="49" spans="1:13">
      <c r="A49" s="1"/>
      <c r="B49" s="1"/>
      <c r="C49" s="1"/>
      <c r="D49" s="1"/>
      <c r="E49" s="1" t="s">
        <v>2687</v>
      </c>
      <c r="F49" s="1">
        <v>0.94</v>
      </c>
      <c r="G49" s="1">
        <v>0.6</v>
      </c>
      <c r="H49" s="1"/>
      <c r="I49" s="1"/>
      <c r="J49" s="1"/>
      <c r="K49" s="1"/>
      <c r="L49" s="1"/>
      <c r="M49" s="1"/>
    </row>
    <row r="50" spans="1:13">
      <c r="A50" s="1"/>
      <c r="B50" s="1"/>
      <c r="C50" s="1"/>
      <c r="D50" s="1"/>
      <c r="E50" s="1" t="s">
        <v>387</v>
      </c>
      <c r="F50" s="1">
        <v>0.88</v>
      </c>
      <c r="G50" s="1">
        <v>1</v>
      </c>
      <c r="H50" s="1"/>
      <c r="I50" s="1"/>
      <c r="J50" s="1"/>
      <c r="K50" s="1"/>
      <c r="L50" s="1"/>
      <c r="M50" s="1"/>
    </row>
    <row r="51" spans="1:13">
      <c r="A51" s="1"/>
      <c r="B51" s="1"/>
      <c r="C51" s="1"/>
      <c r="D51" s="1"/>
      <c r="E51" s="1" t="s">
        <v>24</v>
      </c>
      <c r="F51" s="1">
        <v>0.95</v>
      </c>
      <c r="G51" s="1">
        <v>0.5</v>
      </c>
      <c r="H51" s="1"/>
      <c r="I51" s="1"/>
      <c r="J51" s="1"/>
      <c r="K51" s="1"/>
      <c r="L51" s="1"/>
      <c r="M51" s="1"/>
    </row>
    <row r="52" spans="1:13">
      <c r="A52" s="1"/>
      <c r="B52" s="1"/>
      <c r="C52" s="1"/>
      <c r="D52" s="1"/>
      <c r="E52" s="1" t="s">
        <v>2194</v>
      </c>
      <c r="F52" s="1">
        <v>0.88</v>
      </c>
      <c r="G52" s="1">
        <v>1</v>
      </c>
      <c r="H52" s="1"/>
      <c r="I52" s="1"/>
      <c r="J52" s="1"/>
      <c r="K52" s="1"/>
      <c r="L52" s="1"/>
      <c r="M52" s="1"/>
    </row>
    <row r="53" spans="1:13">
      <c r="A53" s="1"/>
      <c r="B53" s="1"/>
      <c r="C53" s="1"/>
      <c r="D53" s="1"/>
      <c r="E53" s="1"/>
      <c r="F53" s="1"/>
      <c r="G53" s="1"/>
      <c r="H53" s="1"/>
      <c r="I53" s="1"/>
      <c r="J53" s="1"/>
      <c r="K53" s="1"/>
      <c r="L53" s="1"/>
      <c r="M53" s="1"/>
    </row>
    <row r="54" spans="1:13">
      <c r="A54" s="1"/>
      <c r="B54" s="1"/>
      <c r="C54" s="1"/>
      <c r="D54" s="1"/>
      <c r="E54" s="1"/>
      <c r="F54" s="1"/>
      <c r="G54" s="1"/>
      <c r="H54" s="1"/>
      <c r="I54" s="1"/>
      <c r="J54" s="1"/>
      <c r="K54" s="1"/>
      <c r="L54" s="1"/>
      <c r="M54" s="1"/>
    </row>
    <row r="55" spans="1:13">
      <c r="A55" s="1"/>
      <c r="B55" s="1"/>
      <c r="C55" s="1"/>
      <c r="D55" s="1"/>
      <c r="E55" s="1"/>
      <c r="F55" s="1"/>
      <c r="G55" s="1"/>
      <c r="H55" s="1"/>
      <c r="I55" s="1"/>
      <c r="J55" s="1"/>
      <c r="K55" s="1"/>
      <c r="L55" s="1"/>
      <c r="M55" s="1"/>
    </row>
    <row r="56" spans="1:13">
      <c r="A56" s="1"/>
      <c r="B56" s="1"/>
      <c r="C56" s="1"/>
      <c r="D56" s="1"/>
      <c r="E56" s="1"/>
      <c r="F56" s="1"/>
      <c r="G56" s="1"/>
      <c r="H56" s="1"/>
      <c r="I56" s="1"/>
      <c r="J56" s="1"/>
      <c r="K56" s="1"/>
      <c r="L56" s="1"/>
      <c r="M56" s="1"/>
    </row>
    <row r="57" spans="1:13">
      <c r="A57" s="1"/>
      <c r="B57" s="1"/>
      <c r="C57" s="1"/>
      <c r="D57" s="1"/>
      <c r="E57" s="1"/>
      <c r="F57" s="1"/>
      <c r="G57" s="1"/>
      <c r="H57" s="1"/>
      <c r="I57" s="1"/>
      <c r="J57" s="1"/>
      <c r="K57" s="1"/>
      <c r="L57" s="1"/>
      <c r="M57" s="1"/>
    </row>
    <row r="58" spans="1:13" ht="27.4" customHeight="1">
      <c r="A58" s="11" t="s">
        <v>2688</v>
      </c>
      <c r="B58" s="11"/>
      <c r="C58" s="11"/>
      <c r="D58" s="11"/>
      <c r="E58" s="11"/>
      <c r="F58" s="11"/>
      <c r="G58" s="11"/>
      <c r="H58" s="11"/>
      <c r="I58" s="1"/>
      <c r="J58" s="1"/>
      <c r="K58" s="1"/>
      <c r="L58" s="1"/>
      <c r="M58" s="1"/>
    </row>
    <row r="59" spans="1:13" ht="54.75" customHeight="1">
      <c r="A59" s="1" t="s">
        <v>2689</v>
      </c>
      <c r="B59" s="1" t="s">
        <v>2690</v>
      </c>
      <c r="C59" s="1" t="s">
        <v>2691</v>
      </c>
      <c r="D59" s="1"/>
      <c r="E59" s="1"/>
      <c r="F59" s="1"/>
      <c r="G59" s="1"/>
      <c r="H59" s="1"/>
      <c r="I59" s="1"/>
      <c r="J59" s="1"/>
      <c r="K59" s="1"/>
      <c r="L59" s="1"/>
      <c r="M59" s="1"/>
    </row>
    <row r="60" spans="1:13" ht="27.4" customHeight="1">
      <c r="A60" s="1" t="s">
        <v>842</v>
      </c>
      <c r="B60" s="1" t="s">
        <v>2692</v>
      </c>
      <c r="C60" s="1" t="s">
        <v>2693</v>
      </c>
      <c r="D60" s="1"/>
      <c r="E60" s="1"/>
      <c r="F60" s="1"/>
      <c r="G60" s="1"/>
      <c r="H60" s="1"/>
      <c r="I60" s="1"/>
      <c r="J60" s="1"/>
      <c r="K60" s="1"/>
      <c r="L60" s="1"/>
      <c r="M60" s="1"/>
    </row>
    <row r="61" spans="1:13" ht="27.4" customHeight="1">
      <c r="A61" s="1" t="s">
        <v>2694</v>
      </c>
      <c r="B61" s="1" t="s">
        <v>2695</v>
      </c>
      <c r="C61" s="1" t="s">
        <v>2696</v>
      </c>
      <c r="D61" s="1"/>
      <c r="E61" s="1"/>
      <c r="F61" s="1"/>
      <c r="G61" s="1"/>
      <c r="H61" s="1"/>
      <c r="I61" s="1"/>
      <c r="J61" s="1"/>
      <c r="K61" s="1"/>
      <c r="L61" s="1"/>
      <c r="M61" s="1"/>
    </row>
    <row r="62" spans="1:13" ht="68.45" customHeight="1">
      <c r="A62" s="1" t="s">
        <v>2697</v>
      </c>
      <c r="B62" s="1" t="s">
        <v>2698</v>
      </c>
      <c r="C62" s="1" t="s">
        <v>2699</v>
      </c>
      <c r="D62" s="1"/>
      <c r="E62" s="1"/>
      <c r="F62" s="1"/>
      <c r="G62" s="1"/>
      <c r="H62" s="1"/>
      <c r="I62" s="1"/>
      <c r="J62" s="1"/>
      <c r="K62" s="1"/>
      <c r="L62" s="1"/>
      <c r="M62" s="1"/>
    </row>
    <row r="63" spans="1:13" ht="68.45" customHeight="1">
      <c r="A63" s="1" t="s">
        <v>2427</v>
      </c>
      <c r="B63" s="1" t="s">
        <v>2700</v>
      </c>
      <c r="C63" s="1" t="s">
        <v>2701</v>
      </c>
      <c r="D63" s="1"/>
      <c r="E63" s="1"/>
      <c r="F63" s="1"/>
      <c r="G63" s="1"/>
      <c r="H63" s="1"/>
      <c r="I63" s="1"/>
      <c r="J63" s="1"/>
      <c r="K63" s="1"/>
      <c r="L63" s="1"/>
      <c r="M63" s="1"/>
    </row>
    <row r="64" spans="1:13" ht="54.75" customHeight="1">
      <c r="A64" s="1" t="s">
        <v>2702</v>
      </c>
      <c r="B64" s="1" t="s">
        <v>2703</v>
      </c>
      <c r="C64" s="1" t="s">
        <v>2704</v>
      </c>
      <c r="D64" s="1"/>
      <c r="E64" s="1"/>
      <c r="F64" s="1"/>
      <c r="G64" s="1"/>
      <c r="H64" s="1"/>
      <c r="I64" s="1"/>
      <c r="J64" s="1"/>
      <c r="K64" s="1"/>
      <c r="L64" s="1"/>
      <c r="M64" s="1"/>
    </row>
    <row r="65" spans="1:13" ht="35.25" customHeight="1">
      <c r="A65" s="1" t="s">
        <v>2705</v>
      </c>
      <c r="B65" s="1" t="s">
        <v>2706</v>
      </c>
      <c r="C65" s="1" t="s">
        <v>2707</v>
      </c>
      <c r="D65" s="1"/>
      <c r="E65" s="1"/>
      <c r="F65" s="1"/>
      <c r="G65" s="1"/>
      <c r="H65" s="1"/>
      <c r="I65" s="1"/>
      <c r="J65" s="1"/>
      <c r="K65" s="1"/>
      <c r="L65" s="1"/>
      <c r="M65" s="1"/>
    </row>
    <row r="66" spans="1:13" ht="109.35" customHeight="1">
      <c r="A66" s="1" t="s">
        <v>2708</v>
      </c>
      <c r="B66" s="1" t="s">
        <v>2709</v>
      </c>
      <c r="C66" s="1" t="s">
        <v>2710</v>
      </c>
      <c r="D66" s="1"/>
      <c r="E66" s="1"/>
      <c r="F66" s="1"/>
      <c r="G66" s="1"/>
      <c r="H66" s="1"/>
      <c r="I66" s="1"/>
      <c r="J66" s="1"/>
      <c r="K66" s="1"/>
      <c r="L66" s="1"/>
      <c r="M66" s="1"/>
    </row>
    <row r="67" spans="1:13" ht="27.4" customHeight="1">
      <c r="A67" s="1" t="s">
        <v>2711</v>
      </c>
      <c r="B67" s="1" t="s">
        <v>1481</v>
      </c>
      <c r="C67" s="1" t="s">
        <v>2712</v>
      </c>
      <c r="D67" s="1"/>
      <c r="E67" s="1"/>
      <c r="F67" s="1"/>
      <c r="G67" s="1"/>
      <c r="H67" s="1"/>
      <c r="I67" s="1"/>
      <c r="J67" s="1"/>
      <c r="K67" s="1"/>
      <c r="L67" s="1"/>
      <c r="M67" s="1"/>
    </row>
    <row r="68" spans="1:13" ht="41.1" customHeight="1">
      <c r="A68" s="11" t="s">
        <v>2713</v>
      </c>
      <c r="B68" s="11" t="s">
        <v>2714</v>
      </c>
      <c r="C68" s="11" t="s">
        <v>2715</v>
      </c>
      <c r="D68" s="11"/>
      <c r="E68" s="11"/>
      <c r="F68" s="11"/>
      <c r="G68" s="11"/>
      <c r="H68" s="11"/>
      <c r="I68" s="1"/>
      <c r="J68" s="1"/>
      <c r="K68" s="1"/>
      <c r="L68" s="1"/>
      <c r="M68" s="1"/>
    </row>
    <row r="69" spans="1:13" ht="41.1" customHeight="1">
      <c r="A69" s="1" t="s">
        <v>2716</v>
      </c>
      <c r="B69" s="1" t="s">
        <v>2717</v>
      </c>
      <c r="C69" s="1" t="s">
        <v>2718</v>
      </c>
      <c r="D69" s="1" t="s">
        <v>2719</v>
      </c>
      <c r="E69" s="1" t="s">
        <v>1211</v>
      </c>
      <c r="F69" s="1" t="s">
        <v>2720</v>
      </c>
      <c r="G69" s="1" t="s">
        <v>2721</v>
      </c>
      <c r="H69" s="1" t="s">
        <v>2722</v>
      </c>
      <c r="I69" s="1"/>
      <c r="J69" s="1"/>
      <c r="K69" s="1"/>
      <c r="L69" s="1"/>
      <c r="M69" s="1"/>
    </row>
    <row r="70" spans="1:13" ht="54.75" customHeight="1">
      <c r="A70" s="1" t="s">
        <v>2723</v>
      </c>
      <c r="B70" s="1" t="s">
        <v>1485</v>
      </c>
      <c r="C70" s="1" t="s">
        <v>2724</v>
      </c>
      <c r="D70" s="1" t="s">
        <v>2725</v>
      </c>
      <c r="E70" s="1"/>
      <c r="F70" s="1"/>
      <c r="G70" s="1"/>
      <c r="H70" s="1"/>
      <c r="I70" s="1"/>
      <c r="J70" s="1"/>
      <c r="K70" s="1"/>
      <c r="L70" s="1"/>
      <c r="M70" s="1"/>
    </row>
    <row r="71" spans="1:13" ht="41.1" customHeight="1">
      <c r="A71" s="1" t="s">
        <v>2726</v>
      </c>
      <c r="B71" s="1" t="s">
        <v>2727</v>
      </c>
      <c r="C71" s="1" t="s">
        <v>2728</v>
      </c>
      <c r="D71" s="1" t="s">
        <v>2729</v>
      </c>
      <c r="E71" s="1"/>
      <c r="F71" s="1"/>
      <c r="G71" s="1"/>
      <c r="H71" s="1"/>
      <c r="I71" s="1"/>
      <c r="J71" s="1"/>
      <c r="K71" s="1"/>
      <c r="L71" s="1"/>
      <c r="M71" s="1"/>
    </row>
    <row r="72" spans="1:13" ht="54.75" customHeight="1">
      <c r="A72" s="1" t="s">
        <v>2730</v>
      </c>
      <c r="B72" s="1" t="s">
        <v>2731</v>
      </c>
      <c r="C72" s="1" t="s">
        <v>2732</v>
      </c>
      <c r="D72" s="1"/>
      <c r="E72" s="1"/>
      <c r="F72" s="1" t="s">
        <v>2733</v>
      </c>
      <c r="G72" s="1"/>
      <c r="H72" s="1"/>
      <c r="I72" s="1"/>
      <c r="J72" s="1"/>
      <c r="K72" s="1"/>
      <c r="L72" s="1"/>
      <c r="M72" s="1"/>
    </row>
    <row r="73" spans="1:13" ht="41.1" customHeight="1">
      <c r="A73" s="1" t="s">
        <v>2734</v>
      </c>
      <c r="B73" s="1" t="s">
        <v>2735</v>
      </c>
      <c r="C73" s="1" t="s">
        <v>2736</v>
      </c>
      <c r="D73" s="1"/>
      <c r="E73" s="1"/>
      <c r="F73" s="1"/>
      <c r="G73" s="1"/>
      <c r="H73" s="1"/>
      <c r="I73" s="1"/>
      <c r="J73" s="1"/>
      <c r="K73" s="1"/>
      <c r="L73" s="1"/>
      <c r="M73" s="1"/>
    </row>
    <row r="74" spans="1:13">
      <c r="A74" t="s">
        <v>2737</v>
      </c>
      <c r="B74" t="s">
        <v>2738</v>
      </c>
      <c r="C74" t="s">
        <v>2739</v>
      </c>
    </row>
    <row r="75" spans="1:13">
      <c r="A75" t="s">
        <v>2740</v>
      </c>
      <c r="B75" t="s">
        <v>2741</v>
      </c>
      <c r="C75" t="s">
        <v>2742</v>
      </c>
    </row>
    <row r="76" spans="1:13" ht="6.2" customHeight="1">
      <c r="A76" t="s">
        <v>2743</v>
      </c>
      <c r="B76">
        <v>25</v>
      </c>
      <c r="C76" t="s">
        <v>2744</v>
      </c>
      <c r="D76" t="s">
        <v>2745</v>
      </c>
    </row>
    <row r="77" spans="1:13">
      <c r="A77" t="s">
        <v>2746</v>
      </c>
      <c r="B77" t="s">
        <v>2747</v>
      </c>
      <c r="C77" t="s">
        <v>2748</v>
      </c>
      <c r="F77" t="s">
        <v>2749</v>
      </c>
    </row>
    <row r="78" spans="1:13">
      <c r="A78" t="s">
        <v>2750</v>
      </c>
      <c r="B78" t="s">
        <v>2751</v>
      </c>
      <c r="C78" t="s">
        <v>2752</v>
      </c>
    </row>
    <row r="79" spans="1:13">
      <c r="A79" t="s">
        <v>2753</v>
      </c>
      <c r="B79" t="s">
        <v>2754</v>
      </c>
      <c r="C79" t="s">
        <v>2755</v>
      </c>
    </row>
    <row r="80" spans="1:13">
      <c r="A80" t="s">
        <v>2756</v>
      </c>
      <c r="B80" t="s">
        <v>2757</v>
      </c>
      <c r="C80" t="s">
        <v>2758</v>
      </c>
    </row>
    <row r="81" spans="1:3" ht="6.2" customHeight="1">
      <c r="A81" t="s">
        <v>2759</v>
      </c>
      <c r="B81" t="s">
        <v>2760</v>
      </c>
      <c r="C81" t="s">
        <v>2761</v>
      </c>
    </row>
    <row r="82" spans="1:3">
      <c r="A82" t="s">
        <v>2762</v>
      </c>
      <c r="B82" t="s">
        <v>2763</v>
      </c>
      <c r="C82" t="s">
        <v>2764</v>
      </c>
    </row>
    <row r="83" spans="1:3">
      <c r="A83" t="s">
        <v>2765</v>
      </c>
      <c r="B83" t="s">
        <v>2766</v>
      </c>
      <c r="C83" t="s">
        <v>2767</v>
      </c>
    </row>
    <row r="84" spans="1:3">
      <c r="A84" t="s">
        <v>2768</v>
      </c>
      <c r="B84" t="s">
        <v>2769</v>
      </c>
      <c r="C84" t="s">
        <v>2770</v>
      </c>
    </row>
    <row r="85" spans="1:3">
      <c r="A85" t="s">
        <v>2771</v>
      </c>
      <c r="B85" t="s">
        <v>2772</v>
      </c>
      <c r="C85" t="s">
        <v>2773</v>
      </c>
    </row>
    <row r="86" spans="1:3">
      <c r="A86" t="s">
        <v>2774</v>
      </c>
      <c r="B86" t="s">
        <v>2775</v>
      </c>
      <c r="C86" t="s">
        <v>2776</v>
      </c>
    </row>
    <row r="87" spans="1:3">
      <c r="A87" t="s">
        <v>2777</v>
      </c>
      <c r="B87" t="s">
        <v>2778</v>
      </c>
      <c r="C87" t="s">
        <v>2779</v>
      </c>
    </row>
    <row r="88" spans="1:3">
      <c r="A88" t="s">
        <v>2780</v>
      </c>
      <c r="B88" t="s">
        <v>2781</v>
      </c>
      <c r="C88" t="s">
        <v>2782</v>
      </c>
    </row>
    <row r="89" spans="1:3">
      <c r="A89" t="s">
        <v>2783</v>
      </c>
      <c r="B89" t="s">
        <v>2784</v>
      </c>
      <c r="C89" t="s">
        <v>2785</v>
      </c>
    </row>
    <row r="90" spans="1:3">
      <c r="A90" t="s">
        <v>2786</v>
      </c>
      <c r="B90" t="s">
        <v>2787</v>
      </c>
      <c r="C90" t="s">
        <v>2788</v>
      </c>
    </row>
    <row r="91" spans="1:3">
      <c r="A91" t="s">
        <v>2789</v>
      </c>
      <c r="B91" t="s">
        <v>2790</v>
      </c>
      <c r="C91" t="s">
        <v>2791</v>
      </c>
    </row>
    <row r="92" spans="1:3">
      <c r="A92" t="s">
        <v>2792</v>
      </c>
      <c r="B92" t="s">
        <v>2793</v>
      </c>
      <c r="C92" t="s">
        <v>2794</v>
      </c>
    </row>
    <row r="93" spans="1:3">
      <c r="A93" t="s">
        <v>2795</v>
      </c>
      <c r="B93" t="s">
        <v>2793</v>
      </c>
      <c r="C93" t="s">
        <v>2796</v>
      </c>
    </row>
    <row r="94" spans="1:3">
      <c r="A94" t="s">
        <v>2797</v>
      </c>
      <c r="B94" t="s">
        <v>2798</v>
      </c>
      <c r="C94" t="s">
        <v>2799</v>
      </c>
    </row>
    <row r="95" spans="1:3">
      <c r="A95" t="s">
        <v>2800</v>
      </c>
      <c r="B95" t="s">
        <v>2801</v>
      </c>
      <c r="C95" t="s">
        <v>2802</v>
      </c>
    </row>
    <row r="96" spans="1:3">
      <c r="A96" t="s">
        <v>2803</v>
      </c>
      <c r="B96" t="s">
        <v>2804</v>
      </c>
      <c r="C96" t="s">
        <v>2805</v>
      </c>
    </row>
    <row r="97" spans="1:3">
      <c r="A97" t="s">
        <v>2806</v>
      </c>
      <c r="B97" t="s">
        <v>2807</v>
      </c>
      <c r="C97" t="s">
        <v>2808</v>
      </c>
    </row>
    <row r="98" spans="1:3">
      <c r="A98" t="s">
        <v>2809</v>
      </c>
      <c r="B98" t="s">
        <v>2810</v>
      </c>
      <c r="C98" t="s">
        <v>2811</v>
      </c>
    </row>
    <row r="99" spans="1:3">
      <c r="A99" t="s">
        <v>2812</v>
      </c>
      <c r="B99" t="s">
        <v>2813</v>
      </c>
      <c r="C99" t="s">
        <v>2814</v>
      </c>
    </row>
    <row r="100" spans="1:3">
      <c r="A100" t="s">
        <v>546</v>
      </c>
      <c r="B100" t="s">
        <v>2815</v>
      </c>
      <c r="C100" t="s">
        <v>2816</v>
      </c>
    </row>
    <row r="101" spans="1:3">
      <c r="A101" t="s">
        <v>2817</v>
      </c>
      <c r="B101" t="s">
        <v>2818</v>
      </c>
      <c r="C101" t="s">
        <v>2819</v>
      </c>
    </row>
    <row r="102" spans="1:3">
      <c r="A102" t="s">
        <v>1697</v>
      </c>
      <c r="B102" t="s">
        <v>2820</v>
      </c>
      <c r="C102" t="s">
        <v>2821</v>
      </c>
    </row>
    <row r="103" spans="1:3">
      <c r="A103" t="s">
        <v>2822</v>
      </c>
      <c r="B103" t="s">
        <v>2823</v>
      </c>
      <c r="C103" t="s">
        <v>2824</v>
      </c>
    </row>
    <row r="104" spans="1:3">
      <c r="A104" t="s">
        <v>2825</v>
      </c>
      <c r="B104" t="s">
        <v>2826</v>
      </c>
      <c r="C104" t="s">
        <v>2827</v>
      </c>
    </row>
    <row r="105" spans="1:3">
      <c r="A105" t="s">
        <v>2828</v>
      </c>
      <c r="B105" t="s">
        <v>2829</v>
      </c>
      <c r="C105" t="s">
        <v>2830</v>
      </c>
    </row>
    <row r="106" spans="1:3">
      <c r="A106" t="s">
        <v>2831</v>
      </c>
      <c r="B106" t="s">
        <v>2832</v>
      </c>
      <c r="C106" t="s">
        <v>2833</v>
      </c>
    </row>
    <row r="107" spans="1:3">
      <c r="A107" t="s">
        <v>2834</v>
      </c>
      <c r="B107" t="s">
        <v>2835</v>
      </c>
      <c r="C107" t="s">
        <v>2836</v>
      </c>
    </row>
    <row r="108" spans="1:3">
      <c r="A108" t="s">
        <v>2837</v>
      </c>
      <c r="B108" t="s">
        <v>2838</v>
      </c>
      <c r="C108" t="s">
        <v>2839</v>
      </c>
    </row>
    <row r="109" spans="1:3">
      <c r="A109" t="s">
        <v>2840</v>
      </c>
      <c r="B109" t="s">
        <v>2841</v>
      </c>
      <c r="C109" t="s">
        <v>2842</v>
      </c>
    </row>
    <row r="110" spans="1:3">
      <c r="A110" t="s">
        <v>2843</v>
      </c>
      <c r="B110" t="s">
        <v>1775</v>
      </c>
      <c r="C110" t="s">
        <v>2844</v>
      </c>
    </row>
    <row r="111" spans="1:3">
      <c r="A111" t="s">
        <v>927</v>
      </c>
      <c r="B111" t="s">
        <v>2845</v>
      </c>
      <c r="C111" t="s">
        <v>2846</v>
      </c>
    </row>
    <row r="112" spans="1:3">
      <c r="A112" t="s">
        <v>2847</v>
      </c>
      <c r="B112" t="s">
        <v>2848</v>
      </c>
      <c r="C112" t="s">
        <v>2849</v>
      </c>
    </row>
    <row r="113" spans="1:3">
      <c r="A113" t="s">
        <v>2850</v>
      </c>
      <c r="B113" t="s">
        <v>2851</v>
      </c>
      <c r="C113" t="s">
        <v>2852</v>
      </c>
    </row>
    <row r="114" spans="1:3">
      <c r="A114" t="s">
        <v>931</v>
      </c>
      <c r="B114" t="s">
        <v>2853</v>
      </c>
      <c r="C114" t="s">
        <v>2854</v>
      </c>
    </row>
    <row r="115" spans="1:3">
      <c r="A115" t="s">
        <v>2855</v>
      </c>
      <c r="B115" t="s">
        <v>2856</v>
      </c>
      <c r="C115" t="s">
        <v>2857</v>
      </c>
    </row>
    <row r="116" spans="1:3">
      <c r="A116" t="s">
        <v>2858</v>
      </c>
      <c r="B116" t="s">
        <v>2859</v>
      </c>
      <c r="C116" t="s">
        <v>2860</v>
      </c>
    </row>
    <row r="117" spans="1:3">
      <c r="A117" t="s">
        <v>2861</v>
      </c>
      <c r="B117" t="s">
        <v>2862</v>
      </c>
      <c r="C117" t="s">
        <v>2863</v>
      </c>
    </row>
    <row r="118" spans="1:3">
      <c r="A118" t="s">
        <v>2864</v>
      </c>
      <c r="B118" t="s">
        <v>1800</v>
      </c>
      <c r="C118" t="s">
        <v>2865</v>
      </c>
    </row>
    <row r="119" spans="1:3">
      <c r="A119" t="s">
        <v>2866</v>
      </c>
      <c r="B119" t="s">
        <v>2867</v>
      </c>
      <c r="C119" t="s">
        <v>2868</v>
      </c>
    </row>
    <row r="120" spans="1:3">
      <c r="A120" t="s">
        <v>2869</v>
      </c>
      <c r="B120" t="s">
        <v>2870</v>
      </c>
      <c r="C120" t="s">
        <v>2871</v>
      </c>
    </row>
    <row r="121" spans="1:3">
      <c r="A121" t="s">
        <v>2872</v>
      </c>
      <c r="B121" t="s">
        <v>2873</v>
      </c>
      <c r="C121" t="s">
        <v>2874</v>
      </c>
    </row>
    <row r="122" spans="1:3">
      <c r="A122" t="s">
        <v>2875</v>
      </c>
      <c r="B122" t="s">
        <v>1815</v>
      </c>
      <c r="C122" t="s">
        <v>2876</v>
      </c>
    </row>
    <row r="123" spans="1:3">
      <c r="A123" t="s">
        <v>2877</v>
      </c>
      <c r="B123" t="s">
        <v>2878</v>
      </c>
      <c r="C123" t="s">
        <v>2879</v>
      </c>
    </row>
    <row r="124" spans="1:3">
      <c r="A124" t="s">
        <v>2880</v>
      </c>
      <c r="B124" t="s">
        <v>2881</v>
      </c>
      <c r="C124" t="s">
        <v>2882</v>
      </c>
    </row>
    <row r="125" spans="1:3">
      <c r="A125" t="s">
        <v>2883</v>
      </c>
      <c r="B125" t="s">
        <v>1830</v>
      </c>
      <c r="C125" t="s">
        <v>2884</v>
      </c>
    </row>
    <row r="126" spans="1:3">
      <c r="A126" t="s">
        <v>2885</v>
      </c>
      <c r="B126" t="s">
        <v>2886</v>
      </c>
      <c r="C126" t="s">
        <v>2887</v>
      </c>
    </row>
    <row r="127" spans="1:3">
      <c r="A127" t="s">
        <v>2888</v>
      </c>
      <c r="B127" t="s">
        <v>2889</v>
      </c>
      <c r="C127" t="s">
        <v>2890</v>
      </c>
    </row>
    <row r="128" spans="1:3">
      <c r="A128" t="s">
        <v>2891</v>
      </c>
      <c r="B128" t="s">
        <v>2892</v>
      </c>
      <c r="C128" t="s">
        <v>2893</v>
      </c>
    </row>
    <row r="129" spans="1:3">
      <c r="A129" t="s">
        <v>2894</v>
      </c>
      <c r="B129" t="s">
        <v>2895</v>
      </c>
      <c r="C129" t="s">
        <v>2896</v>
      </c>
    </row>
    <row r="130" spans="1:3">
      <c r="A130" t="s">
        <v>2897</v>
      </c>
      <c r="B130" t="s">
        <v>1866</v>
      </c>
      <c r="C130" t="s">
        <v>2898</v>
      </c>
    </row>
    <row r="131" spans="1:3">
      <c r="A131" t="s">
        <v>2899</v>
      </c>
      <c r="B131" t="s">
        <v>2900</v>
      </c>
      <c r="C131" t="s">
        <v>2901</v>
      </c>
    </row>
    <row r="132" spans="1:3">
      <c r="A132" t="s">
        <v>701</v>
      </c>
      <c r="B132" t="s">
        <v>2902</v>
      </c>
      <c r="C132" t="s">
        <v>2903</v>
      </c>
    </row>
    <row r="133" spans="1:3">
      <c r="A133" t="s">
        <v>2904</v>
      </c>
      <c r="B133" t="s">
        <v>2905</v>
      </c>
      <c r="C133" t="s">
        <v>2906</v>
      </c>
    </row>
    <row r="134" spans="1:3">
      <c r="A134" t="s">
        <v>2907</v>
      </c>
      <c r="B134" t="s">
        <v>2908</v>
      </c>
      <c r="C134" t="s">
        <v>2909</v>
      </c>
    </row>
    <row r="135" spans="1:3">
      <c r="A135" t="s">
        <v>2910</v>
      </c>
      <c r="B135" t="s">
        <v>1916</v>
      </c>
      <c r="C135" t="s">
        <v>2911</v>
      </c>
    </row>
    <row r="136" spans="1:3">
      <c r="A136" t="s">
        <v>2912</v>
      </c>
      <c r="B136" t="s">
        <v>2913</v>
      </c>
      <c r="C136" t="s">
        <v>2914</v>
      </c>
    </row>
    <row r="137" spans="1:3">
      <c r="A137" t="s">
        <v>2915</v>
      </c>
      <c r="B137" t="s">
        <v>1932</v>
      </c>
      <c r="C137" t="s">
        <v>2916</v>
      </c>
    </row>
    <row r="138" spans="1:3">
      <c r="A138" t="s">
        <v>2917</v>
      </c>
      <c r="B138" t="s">
        <v>2918</v>
      </c>
      <c r="C138" t="s">
        <v>2919</v>
      </c>
    </row>
    <row r="139" spans="1:3">
      <c r="A139" t="s">
        <v>2920</v>
      </c>
      <c r="B139" t="s">
        <v>2921</v>
      </c>
      <c r="C139" t="s">
        <v>2922</v>
      </c>
    </row>
    <row r="140" spans="1:3">
      <c r="A140" t="s">
        <v>2923</v>
      </c>
      <c r="B140" t="s">
        <v>1947</v>
      </c>
      <c r="C140" t="s">
        <v>2924</v>
      </c>
    </row>
    <row r="141" spans="1:3">
      <c r="A141" t="s">
        <v>2925</v>
      </c>
      <c r="B141" t="s">
        <v>2926</v>
      </c>
      <c r="C141" t="s">
        <v>2927</v>
      </c>
    </row>
    <row r="142" spans="1:3">
      <c r="A142" t="s">
        <v>2928</v>
      </c>
      <c r="B142" t="s">
        <v>2929</v>
      </c>
      <c r="C142" t="s">
        <v>2930</v>
      </c>
    </row>
    <row r="143" spans="1:3">
      <c r="A143" t="s">
        <v>2931</v>
      </c>
      <c r="B143" t="s">
        <v>1993</v>
      </c>
      <c r="C143" t="s">
        <v>2932</v>
      </c>
    </row>
    <row r="144" spans="1:3">
      <c r="A144" t="s">
        <v>2933</v>
      </c>
      <c r="B144" t="s">
        <v>2934</v>
      </c>
      <c r="C144" t="s">
        <v>2935</v>
      </c>
    </row>
    <row r="145" spans="1:3">
      <c r="A145" t="s">
        <v>2936</v>
      </c>
      <c r="B145" t="s">
        <v>2937</v>
      </c>
      <c r="C145" t="s">
        <v>2938</v>
      </c>
    </row>
    <row r="146" spans="1:3">
      <c r="A146" t="s">
        <v>2939</v>
      </c>
      <c r="B146" t="s">
        <v>2940</v>
      </c>
      <c r="C146" t="s">
        <v>2941</v>
      </c>
    </row>
    <row r="147" spans="1:3">
      <c r="A147" t="s">
        <v>2942</v>
      </c>
      <c r="B147" t="s">
        <v>2003</v>
      </c>
      <c r="C147" t="s">
        <v>2943</v>
      </c>
    </row>
    <row r="148" spans="1:3">
      <c r="A148" t="s">
        <v>1812</v>
      </c>
      <c r="B148" t="s">
        <v>2944</v>
      </c>
      <c r="C148" t="s">
        <v>2945</v>
      </c>
    </row>
    <row r="149" spans="1:3">
      <c r="A149" t="s">
        <v>2946</v>
      </c>
      <c r="B149" t="s">
        <v>2034</v>
      </c>
      <c r="C149" t="s">
        <v>2947</v>
      </c>
    </row>
    <row r="150" spans="1:3">
      <c r="A150" t="s">
        <v>2948</v>
      </c>
      <c r="B150" t="s">
        <v>2949</v>
      </c>
      <c r="C150" t="s">
        <v>2950</v>
      </c>
    </row>
    <row r="151" spans="1:3">
      <c r="A151" t="s">
        <v>1500</v>
      </c>
      <c r="B151" t="s">
        <v>2951</v>
      </c>
      <c r="C151" t="s">
        <v>2952</v>
      </c>
    </row>
    <row r="152" spans="1:3">
      <c r="A152" t="s">
        <v>2953</v>
      </c>
      <c r="B152" t="s">
        <v>2071</v>
      </c>
      <c r="C152" t="s">
        <v>2954</v>
      </c>
    </row>
    <row r="153" spans="1:3">
      <c r="A153" t="s">
        <v>2955</v>
      </c>
      <c r="B153" t="s">
        <v>2956</v>
      </c>
      <c r="C153" t="s">
        <v>2957</v>
      </c>
    </row>
    <row r="154" spans="1:3">
      <c r="A154" t="s">
        <v>2958</v>
      </c>
      <c r="B154" t="s">
        <v>1647</v>
      </c>
      <c r="C154" t="s">
        <v>2959</v>
      </c>
    </row>
  </sheetData>
  <sheetProtection password="FE3F" sheet="1" objects="1" scenarios="1" formatRows="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3"/>
  <sheetViews>
    <sheetView workbookViewId="0"/>
  </sheetViews>
  <sheetFormatPr defaultRowHeight="14.25"/>
  <cols>
    <col min="1" max="1" width="22" customWidth="1"/>
    <col min="8" max="8" width="48" customWidth="1"/>
  </cols>
  <sheetData>
    <row r="1" spans="1:12" ht="54.75" customHeight="1">
      <c r="A1" s="5" t="s">
        <v>2960</v>
      </c>
      <c r="B1" s="5" t="s">
        <v>2961</v>
      </c>
      <c r="C1" s="5" t="s">
        <v>2962</v>
      </c>
      <c r="D1" s="5" t="s">
        <v>2963</v>
      </c>
      <c r="E1" s="5" t="s">
        <v>2964</v>
      </c>
      <c r="F1" s="5" t="s">
        <v>2965</v>
      </c>
      <c r="G1" s="5" t="s">
        <v>2966</v>
      </c>
      <c r="H1" s="5" t="s">
        <v>2967</v>
      </c>
      <c r="I1" s="5" t="s">
        <v>2968</v>
      </c>
      <c r="J1" s="5" t="s">
        <v>2969</v>
      </c>
      <c r="K1" s="5" t="s">
        <v>2970</v>
      </c>
      <c r="L1" s="1" t="s">
        <v>2971</v>
      </c>
    </row>
    <row r="2" spans="1:12" ht="396.4" customHeight="1">
      <c r="A2" s="1" t="s">
        <v>2145</v>
      </c>
      <c r="B2" s="1">
        <v>165</v>
      </c>
      <c r="C2" s="1">
        <v>145</v>
      </c>
      <c r="D2" s="1">
        <v>0.45</v>
      </c>
      <c r="E2" s="1">
        <v>2.5</v>
      </c>
      <c r="F2" s="1">
        <v>0.03</v>
      </c>
      <c r="G2" s="1">
        <v>2.5000000000000001E-2</v>
      </c>
      <c r="H2" s="1" t="s">
        <v>2972</v>
      </c>
      <c r="I2" s="1">
        <v>0.1</v>
      </c>
      <c r="J2" s="1" t="s">
        <v>32</v>
      </c>
      <c r="K2" s="1" t="s">
        <v>2973</v>
      </c>
      <c r="L2" s="1" t="s">
        <v>1460</v>
      </c>
    </row>
    <row r="3" spans="1:12" ht="382.7" customHeight="1">
      <c r="A3" s="1" t="s">
        <v>21</v>
      </c>
      <c r="B3" s="1">
        <v>100</v>
      </c>
      <c r="C3" s="1">
        <v>70</v>
      </c>
      <c r="D3" s="1">
        <v>0.55000000000000004</v>
      </c>
      <c r="E3" s="1">
        <v>3</v>
      </c>
      <c r="F3" s="1">
        <v>0.03</v>
      </c>
      <c r="G3" s="1">
        <v>0.05</v>
      </c>
      <c r="H3" s="1" t="s">
        <v>2974</v>
      </c>
      <c r="I3" s="1">
        <v>0.15</v>
      </c>
      <c r="J3" s="1" t="s">
        <v>2585</v>
      </c>
      <c r="K3" s="1" t="s">
        <v>2975</v>
      </c>
      <c r="L3" s="1" t="s">
        <v>1467</v>
      </c>
    </row>
    <row r="4" spans="1:12" ht="396.4" customHeight="1">
      <c r="A4" s="1" t="s">
        <v>2146</v>
      </c>
      <c r="B4" s="1">
        <v>200</v>
      </c>
      <c r="C4" s="1">
        <v>140</v>
      </c>
      <c r="D4" s="1">
        <v>0.35</v>
      </c>
      <c r="E4" s="1">
        <v>2.5</v>
      </c>
      <c r="F4" s="1">
        <v>0.04</v>
      </c>
      <c r="G4" s="1">
        <v>0.02</v>
      </c>
      <c r="H4" s="1" t="s">
        <v>2976</v>
      </c>
      <c r="I4" s="1">
        <v>0.15</v>
      </c>
      <c r="J4" s="1" t="s">
        <v>2687</v>
      </c>
      <c r="K4" s="1" t="s">
        <v>2977</v>
      </c>
      <c r="L4" s="1" t="s">
        <v>2978</v>
      </c>
    </row>
    <row r="5" spans="1:12" ht="396.4" customHeight="1">
      <c r="A5" s="1" t="s">
        <v>927</v>
      </c>
      <c r="B5" s="1">
        <v>110</v>
      </c>
      <c r="C5" s="1">
        <v>41</v>
      </c>
      <c r="D5" s="1">
        <v>0.5</v>
      </c>
      <c r="E5" s="1">
        <v>0.8</v>
      </c>
      <c r="F5" s="1">
        <v>0.02</v>
      </c>
      <c r="G5" s="1">
        <v>0.04</v>
      </c>
      <c r="H5" s="1" t="s">
        <v>2979</v>
      </c>
      <c r="I5" s="1">
        <v>0.05</v>
      </c>
      <c r="J5" s="1" t="s">
        <v>387</v>
      </c>
      <c r="K5" s="1" t="s">
        <v>2980</v>
      </c>
      <c r="L5" s="1" t="s">
        <v>2981</v>
      </c>
    </row>
    <row r="6" spans="1:12" ht="409.6" customHeight="1">
      <c r="A6" s="1" t="s">
        <v>2147</v>
      </c>
      <c r="B6" s="1">
        <v>200</v>
      </c>
      <c r="C6" s="1">
        <v>97.5</v>
      </c>
      <c r="D6" s="1">
        <v>0.4</v>
      </c>
      <c r="E6" s="1">
        <v>1.5</v>
      </c>
      <c r="F6" s="1">
        <v>0.04</v>
      </c>
      <c r="G6" s="1">
        <v>0.03</v>
      </c>
      <c r="H6" s="1" t="s">
        <v>2982</v>
      </c>
      <c r="I6" s="1">
        <v>0.15</v>
      </c>
      <c r="J6" s="1" t="s">
        <v>24</v>
      </c>
      <c r="K6" s="1" t="s">
        <v>2983</v>
      </c>
      <c r="L6" s="1" t="s">
        <v>2984</v>
      </c>
    </row>
    <row r="7" spans="1:12" ht="232.35" customHeight="1">
      <c r="A7" s="1" t="s">
        <v>2148</v>
      </c>
      <c r="B7" s="1">
        <v>100</v>
      </c>
      <c r="C7" s="1">
        <v>70</v>
      </c>
      <c r="D7" s="1">
        <v>0.55000000000000004</v>
      </c>
      <c r="E7" s="1">
        <v>3</v>
      </c>
      <c r="F7" s="1">
        <v>0.05</v>
      </c>
      <c r="G7" s="1">
        <v>0.05</v>
      </c>
      <c r="H7" s="1" t="s">
        <v>2985</v>
      </c>
      <c r="I7" s="1">
        <v>0.2</v>
      </c>
      <c r="J7" s="1" t="s">
        <v>2194</v>
      </c>
      <c r="K7" s="1" t="s">
        <v>2986</v>
      </c>
      <c r="L7" s="1" t="s">
        <v>738</v>
      </c>
    </row>
    <row r="8" spans="1:12" ht="41.1" customHeight="1">
      <c r="A8" s="1" t="s">
        <v>2149</v>
      </c>
      <c r="B8" s="1">
        <v>3</v>
      </c>
      <c r="C8" s="1">
        <v>12.5</v>
      </c>
      <c r="D8" s="1">
        <v>0</v>
      </c>
      <c r="E8" s="1">
        <v>0</v>
      </c>
      <c r="F8" s="1">
        <v>0</v>
      </c>
      <c r="G8" s="1">
        <v>0.05</v>
      </c>
      <c r="H8" s="1" t="s">
        <v>2987</v>
      </c>
      <c r="I8" s="1">
        <v>0</v>
      </c>
      <c r="J8" s="1"/>
      <c r="K8" s="1"/>
      <c r="L8" s="1"/>
    </row>
    <row r="9" spans="1:12" ht="41.1" customHeight="1">
      <c r="A9" s="1" t="s">
        <v>2150</v>
      </c>
      <c r="B9" s="1">
        <v>0.9</v>
      </c>
      <c r="C9" s="1">
        <v>8</v>
      </c>
      <c r="D9" s="1">
        <v>0</v>
      </c>
      <c r="E9" s="1">
        <v>0</v>
      </c>
      <c r="F9" s="1">
        <v>0</v>
      </c>
      <c r="G9" s="1">
        <v>0.06</v>
      </c>
      <c r="H9" s="1" t="s">
        <v>2988</v>
      </c>
      <c r="I9" s="1">
        <v>0</v>
      </c>
      <c r="J9" s="1"/>
      <c r="K9" s="1"/>
      <c r="L9" s="1"/>
    </row>
    <row r="10" spans="1:12" ht="27.4" customHeight="1">
      <c r="A10" s="1" t="s">
        <v>2151</v>
      </c>
      <c r="B10" s="1">
        <v>20</v>
      </c>
      <c r="C10" s="1">
        <v>50</v>
      </c>
      <c r="D10" s="1">
        <v>0</v>
      </c>
      <c r="E10" s="1">
        <v>0</v>
      </c>
      <c r="F10" s="1">
        <v>0</v>
      </c>
      <c r="G10" s="1">
        <v>0.04</v>
      </c>
      <c r="H10" s="1" t="s">
        <v>2989</v>
      </c>
      <c r="I10" s="1">
        <v>0</v>
      </c>
      <c r="J10" s="1"/>
      <c r="K10" s="1"/>
      <c r="L10" s="1"/>
    </row>
    <row r="11" spans="1:12" ht="41.1" customHeight="1">
      <c r="A11" s="1" t="s">
        <v>258</v>
      </c>
      <c r="B11" s="1">
        <v>25</v>
      </c>
      <c r="C11" s="1">
        <v>15</v>
      </c>
      <c r="D11" s="1">
        <v>0</v>
      </c>
      <c r="E11" s="1">
        <v>0</v>
      </c>
      <c r="F11" s="1">
        <v>0</v>
      </c>
      <c r="G11" s="1">
        <v>0.06</v>
      </c>
      <c r="H11" s="1" t="s">
        <v>2990</v>
      </c>
      <c r="I11" s="1">
        <v>0</v>
      </c>
      <c r="J11" s="1"/>
      <c r="K11" s="1"/>
      <c r="L11" s="1"/>
    </row>
    <row r="12" spans="1:12" ht="27.4" customHeight="1">
      <c r="A12" s="1" t="s">
        <v>2152</v>
      </c>
      <c r="B12" s="1">
        <v>30</v>
      </c>
      <c r="C12" s="1">
        <v>10</v>
      </c>
      <c r="D12" s="1">
        <v>0</v>
      </c>
      <c r="E12" s="1">
        <v>0</v>
      </c>
      <c r="F12" s="1">
        <v>0</v>
      </c>
      <c r="G12" s="1">
        <v>0.08</v>
      </c>
      <c r="H12" s="1" t="s">
        <v>2991</v>
      </c>
      <c r="I12" s="1">
        <v>0</v>
      </c>
      <c r="J12" s="1"/>
      <c r="K12" s="1"/>
      <c r="L12" s="1"/>
    </row>
    <row r="13" spans="1:12" ht="41.1" customHeight="1">
      <c r="A13" s="1" t="s">
        <v>2153</v>
      </c>
      <c r="B13" s="1">
        <v>35</v>
      </c>
      <c r="C13" s="1">
        <v>20</v>
      </c>
      <c r="D13" s="1">
        <v>0</v>
      </c>
      <c r="E13" s="1">
        <v>0</v>
      </c>
      <c r="F13" s="1">
        <v>0</v>
      </c>
      <c r="G13" s="1">
        <v>0.06</v>
      </c>
      <c r="H13" s="1" t="s">
        <v>2992</v>
      </c>
      <c r="I13" s="1">
        <v>0</v>
      </c>
      <c r="J13" s="1"/>
      <c r="K13" s="1"/>
      <c r="L13" s="1"/>
    </row>
  </sheetData>
  <sheetProtection password="FE3F" sheet="1" objects="1" scenarios="1" formatRow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300"/>
  <sheetViews>
    <sheetView workbookViewId="0"/>
  </sheetViews>
  <sheetFormatPr defaultRowHeight="14.25"/>
  <cols>
    <col min="1" max="7" width="18" customWidth="1"/>
    <col min="8" max="10" width="22" customWidth="1"/>
  </cols>
  <sheetData>
    <row r="1" spans="1:19" ht="95.65" customHeight="1">
      <c r="A1" s="5" t="s">
        <v>2960</v>
      </c>
      <c r="B1" s="5" t="s">
        <v>23</v>
      </c>
      <c r="C1" s="5" t="s">
        <v>2993</v>
      </c>
      <c r="D1" s="5" t="s">
        <v>2994</v>
      </c>
      <c r="E1" s="5" t="s">
        <v>2995</v>
      </c>
      <c r="F1" s="5" t="s">
        <v>2996</v>
      </c>
      <c r="G1" s="5" t="s">
        <v>2997</v>
      </c>
      <c r="H1" s="5" t="s">
        <v>2998</v>
      </c>
      <c r="I1" s="5" t="s">
        <v>2999</v>
      </c>
      <c r="J1" s="5" t="s">
        <v>3000</v>
      </c>
      <c r="K1" s="5" t="s">
        <v>3001</v>
      </c>
      <c r="L1" s="5" t="s">
        <v>3002</v>
      </c>
      <c r="M1" s="5" t="s">
        <v>3003</v>
      </c>
      <c r="N1" s="5" t="s">
        <v>3004</v>
      </c>
      <c r="O1" s="5" t="s">
        <v>3005</v>
      </c>
      <c r="P1" s="5" t="s">
        <v>3006</v>
      </c>
      <c r="Q1" s="5" t="s">
        <v>3007</v>
      </c>
      <c r="R1" s="5" t="s">
        <v>3008</v>
      </c>
      <c r="S1" s="5" t="s">
        <v>3009</v>
      </c>
    </row>
    <row r="2" spans="1:19" ht="27.4" customHeight="1">
      <c r="A2" s="1" t="s">
        <v>2146</v>
      </c>
      <c r="B2" s="1" t="s">
        <v>2181</v>
      </c>
      <c r="C2" s="1">
        <v>13</v>
      </c>
      <c r="D2" s="1">
        <v>3.3</v>
      </c>
      <c r="E2" s="1">
        <v>1.395</v>
      </c>
      <c r="F2" s="1" t="s">
        <v>3010</v>
      </c>
      <c r="G2" s="1" t="s">
        <v>3011</v>
      </c>
      <c r="H2" s="1" t="s">
        <v>2195</v>
      </c>
      <c r="I2" s="1" t="s">
        <v>2195</v>
      </c>
      <c r="J2" s="1" t="s">
        <v>2208</v>
      </c>
      <c r="K2" s="108" t="str">
        <f>IF(AND($A2=Dashboard!$B$8,$C2='Calc Engine'!$B$5),$E2,"")</f>
        <v/>
      </c>
      <c r="L2" s="108">
        <f>IF(NOT(ISNUMBER(Dashboard!$B$11)),999,IF(OR(Dashboard!$B$11&lt;=0,$E2=""),999,ABS($E2-Dashboard!$B$11)))</f>
        <v>4.4999999999999929E-2</v>
      </c>
      <c r="M2" s="108" t="str">
        <f>IF(NOT(ISNUMBER(Dashboard!$B$11)),"",IF(AND(Dashboard!$B$11&gt;0,$L2=MIN($L$2:$L$300)),"Closest overall reference",""))</f>
        <v/>
      </c>
      <c r="N2" s="108">
        <f>IF(NOT(ISNUMBER(Dashboard!$B$11)),999,IF(AND(Dashboard!$B$11&gt;0,$A2=Dashboard!$B$8,$E2&lt;&gt;""),ABS($E2-Dashboard!$B$11),999))</f>
        <v>999</v>
      </c>
      <c r="O2" s="108" t="str">
        <f>IF(NOT(ISNUMBER(Dashboard!$B$11)),"",IF(AND(Dashboard!$B$11&gt;0,$N2=MIN($N$2:$N$300)),"Closest same-material reference",""))</f>
        <v/>
      </c>
      <c r="P2" s="108" t="str">
        <f>IF(AND($A2=Dashboard!$B$8,$C2='Calc Engine'!$B$5,$E2&lt;&gt;""),$E2,"")</f>
        <v/>
      </c>
      <c r="Q2" s="108">
        <f>IF(NOT(ISNUMBER(Dashboard!$B$11)),-999,IF(AND($P2&lt;&gt;"",Dashboard!$B$11&gt;0,$P2&lt;=Dashboard!$B$11),$P2,-999))</f>
        <v>-999</v>
      </c>
      <c r="R2" s="108">
        <f>IF(NOT(ISNUMBER(Dashboard!$B$11)),999,IF(AND($P2&lt;&gt;"",Dashboard!$B$11&gt;0,$P2&gt;=Dashboard!$B$11),$P2,999))</f>
        <v>999</v>
      </c>
      <c r="S2" s="108" t="str">
        <f t="shared" ref="S2:S65" si="0">IF($P2="","",$D2)</f>
        <v/>
      </c>
    </row>
    <row r="3" spans="1:19" ht="41.1" customHeight="1">
      <c r="A3" s="1" t="s">
        <v>2146</v>
      </c>
      <c r="B3" s="1" t="s">
        <v>3012</v>
      </c>
      <c r="C3" s="1">
        <v>13</v>
      </c>
      <c r="D3" s="1">
        <v>3.3</v>
      </c>
      <c r="E3" s="1">
        <v>1.395</v>
      </c>
      <c r="F3" s="1" t="s">
        <v>3013</v>
      </c>
      <c r="G3" s="1" t="s">
        <v>3014</v>
      </c>
      <c r="H3" s="1" t="s">
        <v>2195</v>
      </c>
      <c r="I3" s="1" t="s">
        <v>2195</v>
      </c>
      <c r="J3" s="1" t="s">
        <v>2208</v>
      </c>
      <c r="K3" s="108" t="str">
        <f>IF(AND($A3=Dashboard!$B$8,$C3='Calc Engine'!$B$5),$E3,"")</f>
        <v/>
      </c>
      <c r="L3" s="108">
        <f>IF(NOT(ISNUMBER(Dashboard!$B$11)),999,IF(OR(Dashboard!$B$11&lt;=0,$E3=""),999,ABS($E3-Dashboard!$B$11)))</f>
        <v>4.4999999999999929E-2</v>
      </c>
      <c r="M3" s="108" t="str">
        <f>IF(NOT(ISNUMBER(Dashboard!$B$11)),"",IF(AND(Dashboard!$B$11&gt;0,$L3=MIN($L$2:$L$300)),"Closest overall reference",""))</f>
        <v/>
      </c>
      <c r="N3" s="108">
        <f>IF(NOT(ISNUMBER(Dashboard!$B$11)),999,IF(AND(Dashboard!$B$11&gt;0,$A3=Dashboard!$B$8,$E3&lt;&gt;""),ABS($E3-Dashboard!$B$11),999))</f>
        <v>999</v>
      </c>
      <c r="O3" s="108" t="str">
        <f>IF(NOT(ISNUMBER(Dashboard!$B$11)),"",IF(AND(Dashboard!$B$11&gt;0,$N3=MIN($N$2:$N$300)),"Closest same-material reference",""))</f>
        <v/>
      </c>
      <c r="P3" s="108" t="str">
        <f>IF(AND($A3=Dashboard!$B$8,$C3='Calc Engine'!$B$5,$E3&lt;&gt;""),$E3,"")</f>
        <v/>
      </c>
      <c r="Q3" s="108">
        <f>IF(NOT(ISNUMBER(Dashboard!$B$11)),-999,IF(AND($P3&lt;&gt;"",Dashboard!$B$11&gt;0,$P3&lt;=Dashboard!$B$11),$P3,-999))</f>
        <v>-999</v>
      </c>
      <c r="R3" s="108">
        <f>IF(NOT(ISNUMBER(Dashboard!$B$11)),999,IF(AND($P3&lt;&gt;"",Dashboard!$B$11&gt;0,$P3&gt;=Dashboard!$B$11),$P3,999))</f>
        <v>999</v>
      </c>
      <c r="S3" s="108" t="str">
        <f t="shared" si="0"/>
        <v/>
      </c>
    </row>
    <row r="4" spans="1:19" ht="54.75" customHeight="1">
      <c r="A4" s="1" t="s">
        <v>2146</v>
      </c>
      <c r="B4" s="1" t="s">
        <v>3015</v>
      </c>
      <c r="C4" s="1">
        <v>13</v>
      </c>
      <c r="D4" s="1">
        <v>3.3</v>
      </c>
      <c r="E4" s="1">
        <v>1.395</v>
      </c>
      <c r="F4" s="1" t="s">
        <v>3016</v>
      </c>
      <c r="G4" s="1" t="s">
        <v>3017</v>
      </c>
      <c r="H4" s="1" t="s">
        <v>2195</v>
      </c>
      <c r="I4" s="1" t="s">
        <v>2195</v>
      </c>
      <c r="J4" s="1" t="s">
        <v>2208</v>
      </c>
      <c r="K4" s="108" t="str">
        <f>IF(AND($A4=Dashboard!$B$8,$C4='Calc Engine'!$B$5),$E4,"")</f>
        <v/>
      </c>
      <c r="L4" s="108">
        <f>IF(NOT(ISNUMBER(Dashboard!$B$11)),999,IF(OR(Dashboard!$B$11&lt;=0,$E4=""),999,ABS($E4-Dashboard!$B$11)))</f>
        <v>4.4999999999999929E-2</v>
      </c>
      <c r="M4" s="108" t="str">
        <f>IF(NOT(ISNUMBER(Dashboard!$B$11)),"",IF(AND(Dashboard!$B$11&gt;0,$L4=MIN($L$2:$L$300)),"Closest overall reference",""))</f>
        <v/>
      </c>
      <c r="N4" s="108">
        <f>IF(NOT(ISNUMBER(Dashboard!$B$11)),999,IF(AND(Dashboard!$B$11&gt;0,$A4=Dashboard!$B$8,$E4&lt;&gt;""),ABS($E4-Dashboard!$B$11),999))</f>
        <v>999</v>
      </c>
      <c r="O4" s="108" t="str">
        <f>IF(NOT(ISNUMBER(Dashboard!$B$11)),"",IF(AND(Dashboard!$B$11&gt;0,$N4=MIN($N$2:$N$300)),"Closest same-material reference",""))</f>
        <v/>
      </c>
      <c r="P4" s="108" t="str">
        <f>IF(AND($A4=Dashboard!$B$8,$C4='Calc Engine'!$B$5,$E4&lt;&gt;""),$E4,"")</f>
        <v/>
      </c>
      <c r="Q4" s="108">
        <f>IF(NOT(ISNUMBER(Dashboard!$B$11)),-999,IF(AND($P4&lt;&gt;"",Dashboard!$B$11&gt;0,$P4&lt;=Dashboard!$B$11),$P4,-999))</f>
        <v>-999</v>
      </c>
      <c r="R4" s="108">
        <f>IF(NOT(ISNUMBER(Dashboard!$B$11)),999,IF(AND($P4&lt;&gt;"",Dashboard!$B$11&gt;0,$P4&gt;=Dashboard!$B$11),$P4,999))</f>
        <v>999</v>
      </c>
      <c r="S4" s="108" t="str">
        <f t="shared" si="0"/>
        <v/>
      </c>
    </row>
    <row r="5" spans="1:19" ht="54.75" customHeight="1">
      <c r="A5" s="1" t="s">
        <v>2146</v>
      </c>
      <c r="B5" s="1" t="s">
        <v>2181</v>
      </c>
      <c r="C5" s="1">
        <v>55</v>
      </c>
      <c r="D5" s="1">
        <v>2.9</v>
      </c>
      <c r="E5" s="1">
        <v>1.3069999999999999</v>
      </c>
      <c r="F5" s="1" t="s">
        <v>3010</v>
      </c>
      <c r="G5" s="1" t="s">
        <v>3018</v>
      </c>
      <c r="H5" s="1" t="s">
        <v>2195</v>
      </c>
      <c r="I5" s="1" t="s">
        <v>2195</v>
      </c>
      <c r="J5" s="1" t="s">
        <v>2208</v>
      </c>
      <c r="K5" s="108" t="str">
        <f>IF(AND($A5=Dashboard!$B$8,$C5='Calc Engine'!$B$5),$E5,"")</f>
        <v/>
      </c>
      <c r="L5" s="108">
        <f>IF(NOT(ISNUMBER(Dashboard!$B$11)),999,IF(OR(Dashboard!$B$11&lt;=0,$E5=""),999,ABS($E5-Dashboard!$B$11)))</f>
        <v>4.3000000000000149E-2</v>
      </c>
      <c r="M5" s="108" t="str">
        <f>IF(NOT(ISNUMBER(Dashboard!$B$11)),"",IF(AND(Dashboard!$B$11&gt;0,$L5=MIN($L$2:$L$300)),"Closest overall reference",""))</f>
        <v/>
      </c>
      <c r="N5" s="108">
        <f>IF(NOT(ISNUMBER(Dashboard!$B$11)),999,IF(AND(Dashboard!$B$11&gt;0,$A5=Dashboard!$B$8,$E5&lt;&gt;""),ABS($E5-Dashboard!$B$11),999))</f>
        <v>999</v>
      </c>
      <c r="O5" s="108" t="str">
        <f>IF(NOT(ISNUMBER(Dashboard!$B$11)),"",IF(AND(Dashboard!$B$11&gt;0,$N5=MIN($N$2:$N$300)),"Closest same-material reference",""))</f>
        <v/>
      </c>
      <c r="P5" s="108" t="str">
        <f>IF(AND($A5=Dashboard!$B$8,$C5='Calc Engine'!$B$5,$E5&lt;&gt;""),$E5,"")</f>
        <v/>
      </c>
      <c r="Q5" s="108">
        <f>IF(NOT(ISNUMBER(Dashboard!$B$11)),-999,IF(AND($P5&lt;&gt;"",Dashboard!$B$11&gt;0,$P5&lt;=Dashboard!$B$11),$P5,-999))</f>
        <v>-999</v>
      </c>
      <c r="R5" s="108">
        <f>IF(NOT(ISNUMBER(Dashboard!$B$11)),999,IF(AND($P5&lt;&gt;"",Dashboard!$B$11&gt;0,$P5&gt;=Dashboard!$B$11),$P5,999))</f>
        <v>999</v>
      </c>
      <c r="S5" s="108" t="str">
        <f t="shared" si="0"/>
        <v/>
      </c>
    </row>
    <row r="6" spans="1:19" ht="54.75" customHeight="1">
      <c r="A6" s="1" t="s">
        <v>2146</v>
      </c>
      <c r="B6" s="1" t="s">
        <v>3012</v>
      </c>
      <c r="C6" s="1">
        <v>55</v>
      </c>
      <c r="D6" s="1">
        <v>2.9</v>
      </c>
      <c r="E6" s="1">
        <v>1.3069999999999999</v>
      </c>
      <c r="F6" s="1" t="s">
        <v>3013</v>
      </c>
      <c r="G6" s="1" t="s">
        <v>3019</v>
      </c>
      <c r="H6" s="1" t="s">
        <v>2195</v>
      </c>
      <c r="I6" s="1" t="s">
        <v>2195</v>
      </c>
      <c r="J6" s="1" t="s">
        <v>2208</v>
      </c>
      <c r="K6" s="108" t="str">
        <f>IF(AND($A6=Dashboard!$B$8,$C6='Calc Engine'!$B$5),$E6,"")</f>
        <v/>
      </c>
      <c r="L6" s="108">
        <f>IF(NOT(ISNUMBER(Dashboard!$B$11)),999,IF(OR(Dashboard!$B$11&lt;=0,$E6=""),999,ABS($E6-Dashboard!$B$11)))</f>
        <v>4.3000000000000149E-2</v>
      </c>
      <c r="M6" s="108" t="str">
        <f>IF(NOT(ISNUMBER(Dashboard!$B$11)),"",IF(AND(Dashboard!$B$11&gt;0,$L6=MIN($L$2:$L$300)),"Closest overall reference",""))</f>
        <v/>
      </c>
      <c r="N6" s="108">
        <f>IF(NOT(ISNUMBER(Dashboard!$B$11)),999,IF(AND(Dashboard!$B$11&gt;0,$A6=Dashboard!$B$8,$E6&lt;&gt;""),ABS($E6-Dashboard!$B$11),999))</f>
        <v>999</v>
      </c>
      <c r="O6" s="108" t="str">
        <f>IF(NOT(ISNUMBER(Dashboard!$B$11)),"",IF(AND(Dashboard!$B$11&gt;0,$N6=MIN($N$2:$N$300)),"Closest same-material reference",""))</f>
        <v/>
      </c>
      <c r="P6" s="108" t="str">
        <f>IF(AND($A6=Dashboard!$B$8,$C6='Calc Engine'!$B$5,$E6&lt;&gt;""),$E6,"")</f>
        <v/>
      </c>
      <c r="Q6" s="108">
        <f>IF(NOT(ISNUMBER(Dashboard!$B$11)),-999,IF(AND($P6&lt;&gt;"",Dashboard!$B$11&gt;0,$P6&lt;=Dashboard!$B$11),$P6,-999))</f>
        <v>-999</v>
      </c>
      <c r="R6" s="108">
        <f>IF(NOT(ISNUMBER(Dashboard!$B$11)),999,IF(AND($P6&lt;&gt;"",Dashboard!$B$11&gt;0,$P6&gt;=Dashboard!$B$11),$P6,999))</f>
        <v>999</v>
      </c>
      <c r="S6" s="108" t="str">
        <f t="shared" si="0"/>
        <v/>
      </c>
    </row>
    <row r="7" spans="1:19" ht="54.75" customHeight="1">
      <c r="A7" s="1" t="s">
        <v>2146</v>
      </c>
      <c r="B7" s="1" t="s">
        <v>3015</v>
      </c>
      <c r="C7" s="1">
        <v>55</v>
      </c>
      <c r="D7" s="1">
        <v>2.9</v>
      </c>
      <c r="E7" s="1">
        <v>1.3069999999999999</v>
      </c>
      <c r="F7" s="1" t="s">
        <v>3016</v>
      </c>
      <c r="G7" s="1" t="s">
        <v>3020</v>
      </c>
      <c r="H7" s="1" t="s">
        <v>2195</v>
      </c>
      <c r="I7" s="1" t="s">
        <v>2195</v>
      </c>
      <c r="J7" s="1" t="s">
        <v>2208</v>
      </c>
      <c r="K7" s="108" t="str">
        <f>IF(AND($A7=Dashboard!$B$8,$C7='Calc Engine'!$B$5),$E7,"")</f>
        <v/>
      </c>
      <c r="L7" s="108">
        <f>IF(NOT(ISNUMBER(Dashboard!$B$11)),999,IF(OR(Dashboard!$B$11&lt;=0,$E7=""),999,ABS($E7-Dashboard!$B$11)))</f>
        <v>4.3000000000000149E-2</v>
      </c>
      <c r="M7" s="108" t="str">
        <f>IF(NOT(ISNUMBER(Dashboard!$B$11)),"",IF(AND(Dashboard!$B$11&gt;0,$L7=MIN($L$2:$L$300)),"Closest overall reference",""))</f>
        <v/>
      </c>
      <c r="N7" s="108">
        <f>IF(NOT(ISNUMBER(Dashboard!$B$11)),999,IF(AND(Dashboard!$B$11&gt;0,$A7=Dashboard!$B$8,$E7&lt;&gt;""),ABS($E7-Dashboard!$B$11),999))</f>
        <v>999</v>
      </c>
      <c r="O7" s="108" t="str">
        <f>IF(NOT(ISNUMBER(Dashboard!$B$11)),"",IF(AND(Dashboard!$B$11&gt;0,$N7=MIN($N$2:$N$300)),"Closest same-material reference",""))</f>
        <v/>
      </c>
      <c r="P7" s="108" t="str">
        <f>IF(AND($A7=Dashboard!$B$8,$C7='Calc Engine'!$B$5,$E7&lt;&gt;""),$E7,"")</f>
        <v/>
      </c>
      <c r="Q7" s="108">
        <f>IF(NOT(ISNUMBER(Dashboard!$B$11)),-999,IF(AND($P7&lt;&gt;"",Dashboard!$B$11&gt;0,$P7&lt;=Dashboard!$B$11),$P7,-999))</f>
        <v>-999</v>
      </c>
      <c r="R7" s="108">
        <f>IF(NOT(ISNUMBER(Dashboard!$B$11)),999,IF(AND($P7&lt;&gt;"",Dashboard!$B$11&gt;0,$P7&gt;=Dashboard!$B$11),$P7,999))</f>
        <v>999</v>
      </c>
      <c r="S7" s="108" t="str">
        <f t="shared" si="0"/>
        <v/>
      </c>
    </row>
    <row r="8" spans="1:19" ht="27.4" customHeight="1">
      <c r="A8" s="1" t="s">
        <v>2146</v>
      </c>
      <c r="B8" s="1" t="s">
        <v>2181</v>
      </c>
      <c r="C8" s="1">
        <v>70</v>
      </c>
      <c r="D8" s="1">
        <v>3.2</v>
      </c>
      <c r="E8" s="1">
        <v>1.292</v>
      </c>
      <c r="F8" s="1" t="s">
        <v>3010</v>
      </c>
      <c r="G8" s="1" t="s">
        <v>3021</v>
      </c>
      <c r="H8" s="1" t="s">
        <v>2195</v>
      </c>
      <c r="I8" s="1" t="s">
        <v>2195</v>
      </c>
      <c r="J8" s="1" t="s">
        <v>2208</v>
      </c>
      <c r="K8" s="108" t="str">
        <f>IF(AND($A8=Dashboard!$B$8,$C8='Calc Engine'!$B$5),$E8,"")</f>
        <v/>
      </c>
      <c r="L8" s="108">
        <f>IF(NOT(ISNUMBER(Dashboard!$B$11)),999,IF(OR(Dashboard!$B$11&lt;=0,$E8=""),999,ABS($E8-Dashboard!$B$11)))</f>
        <v>5.8000000000000052E-2</v>
      </c>
      <c r="M8" s="108" t="str">
        <f>IF(NOT(ISNUMBER(Dashboard!$B$11)),"",IF(AND(Dashboard!$B$11&gt;0,$L8=MIN($L$2:$L$300)),"Closest overall reference",""))</f>
        <v/>
      </c>
      <c r="N8" s="108">
        <f>IF(NOT(ISNUMBER(Dashboard!$B$11)),999,IF(AND(Dashboard!$B$11&gt;0,$A8=Dashboard!$B$8,$E8&lt;&gt;""),ABS($E8-Dashboard!$B$11),999))</f>
        <v>999</v>
      </c>
      <c r="O8" s="108" t="str">
        <f>IF(NOT(ISNUMBER(Dashboard!$B$11)),"",IF(AND(Dashboard!$B$11&gt;0,$N8=MIN($N$2:$N$300)),"Closest same-material reference",""))</f>
        <v/>
      </c>
      <c r="P8" s="108" t="str">
        <f>IF(AND($A8=Dashboard!$B$8,$C8='Calc Engine'!$B$5,$E8&lt;&gt;""),$E8,"")</f>
        <v/>
      </c>
      <c r="Q8" s="108">
        <f>IF(NOT(ISNUMBER(Dashboard!$B$11)),-999,IF(AND($P8&lt;&gt;"",Dashboard!$B$11&gt;0,$P8&lt;=Dashboard!$B$11),$P8,-999))</f>
        <v>-999</v>
      </c>
      <c r="R8" s="108">
        <f>IF(NOT(ISNUMBER(Dashboard!$B$11)),999,IF(AND($P8&lt;&gt;"",Dashboard!$B$11&gt;0,$P8&gt;=Dashboard!$B$11),$P8,999))</f>
        <v>999</v>
      </c>
      <c r="S8" s="108" t="str">
        <f t="shared" si="0"/>
        <v/>
      </c>
    </row>
    <row r="9" spans="1:19" ht="41.1" customHeight="1">
      <c r="A9" s="1" t="s">
        <v>2146</v>
      </c>
      <c r="B9" s="1" t="s">
        <v>3012</v>
      </c>
      <c r="C9" s="1">
        <v>70</v>
      </c>
      <c r="D9" s="1">
        <v>3.2</v>
      </c>
      <c r="E9" s="1">
        <v>1.292</v>
      </c>
      <c r="F9" s="1" t="s">
        <v>3013</v>
      </c>
      <c r="G9" s="1" t="s">
        <v>3022</v>
      </c>
      <c r="H9" s="1" t="s">
        <v>2195</v>
      </c>
      <c r="I9" s="1" t="s">
        <v>2195</v>
      </c>
      <c r="J9" s="1" t="s">
        <v>2208</v>
      </c>
      <c r="K9" s="108" t="str">
        <f>IF(AND($A9=Dashboard!$B$8,$C9='Calc Engine'!$B$5),$E9,"")</f>
        <v/>
      </c>
      <c r="L9" s="108">
        <f>IF(NOT(ISNUMBER(Dashboard!$B$11)),999,IF(OR(Dashboard!$B$11&lt;=0,$E9=""),999,ABS($E9-Dashboard!$B$11)))</f>
        <v>5.8000000000000052E-2</v>
      </c>
      <c r="M9" s="108" t="str">
        <f>IF(NOT(ISNUMBER(Dashboard!$B$11)),"",IF(AND(Dashboard!$B$11&gt;0,$L9=MIN($L$2:$L$300)),"Closest overall reference",""))</f>
        <v/>
      </c>
      <c r="N9" s="108">
        <f>IF(NOT(ISNUMBER(Dashboard!$B$11)),999,IF(AND(Dashboard!$B$11&gt;0,$A9=Dashboard!$B$8,$E9&lt;&gt;""),ABS($E9-Dashboard!$B$11),999))</f>
        <v>999</v>
      </c>
      <c r="O9" s="108" t="str">
        <f>IF(NOT(ISNUMBER(Dashboard!$B$11)),"",IF(AND(Dashboard!$B$11&gt;0,$N9=MIN($N$2:$N$300)),"Closest same-material reference",""))</f>
        <v/>
      </c>
      <c r="P9" s="108" t="str">
        <f>IF(AND($A9=Dashboard!$B$8,$C9='Calc Engine'!$B$5,$E9&lt;&gt;""),$E9,"")</f>
        <v/>
      </c>
      <c r="Q9" s="108">
        <f>IF(NOT(ISNUMBER(Dashboard!$B$11)),-999,IF(AND($P9&lt;&gt;"",Dashboard!$B$11&gt;0,$P9&lt;=Dashboard!$B$11),$P9,-999))</f>
        <v>-999</v>
      </c>
      <c r="R9" s="108">
        <f>IF(NOT(ISNUMBER(Dashboard!$B$11)),999,IF(AND($P9&lt;&gt;"",Dashboard!$B$11&gt;0,$P9&gt;=Dashboard!$B$11),$P9,999))</f>
        <v>999</v>
      </c>
      <c r="S9" s="108" t="str">
        <f t="shared" si="0"/>
        <v/>
      </c>
    </row>
    <row r="10" spans="1:19" ht="54.75" customHeight="1">
      <c r="A10" s="1" t="s">
        <v>2146</v>
      </c>
      <c r="B10" s="1" t="s">
        <v>3015</v>
      </c>
      <c r="C10" s="1">
        <v>70</v>
      </c>
      <c r="D10" s="1">
        <v>3.2</v>
      </c>
      <c r="E10" s="1">
        <v>1.292</v>
      </c>
      <c r="F10" s="1" t="s">
        <v>3016</v>
      </c>
      <c r="G10" s="1" t="s">
        <v>3023</v>
      </c>
      <c r="H10" s="1" t="s">
        <v>2195</v>
      </c>
      <c r="I10" s="1" t="s">
        <v>2195</v>
      </c>
      <c r="J10" s="1" t="s">
        <v>2208</v>
      </c>
      <c r="K10" s="108" t="str">
        <f>IF(AND($A10=Dashboard!$B$8,$C10='Calc Engine'!$B$5),$E10,"")</f>
        <v/>
      </c>
      <c r="L10" s="108">
        <f>IF(NOT(ISNUMBER(Dashboard!$B$11)),999,IF(OR(Dashboard!$B$11&lt;=0,$E10=""),999,ABS($E10-Dashboard!$B$11)))</f>
        <v>5.8000000000000052E-2</v>
      </c>
      <c r="M10" s="108" t="str">
        <f>IF(NOT(ISNUMBER(Dashboard!$B$11)),"",IF(AND(Dashboard!$B$11&gt;0,$L10=MIN($L$2:$L$300)),"Closest overall reference",""))</f>
        <v/>
      </c>
      <c r="N10" s="108">
        <f>IF(NOT(ISNUMBER(Dashboard!$B$11)),999,IF(AND(Dashboard!$B$11&gt;0,$A10=Dashboard!$B$8,$E10&lt;&gt;""),ABS($E10-Dashboard!$B$11),999))</f>
        <v>999</v>
      </c>
      <c r="O10" s="108" t="str">
        <f>IF(NOT(ISNUMBER(Dashboard!$B$11)),"",IF(AND(Dashboard!$B$11&gt;0,$N10=MIN($N$2:$N$300)),"Closest same-material reference",""))</f>
        <v/>
      </c>
      <c r="P10" s="108" t="str">
        <f>IF(AND($A10=Dashboard!$B$8,$C10='Calc Engine'!$B$5,$E10&lt;&gt;""),$E10,"")</f>
        <v/>
      </c>
      <c r="Q10" s="108">
        <f>IF(NOT(ISNUMBER(Dashboard!$B$11)),-999,IF(AND($P10&lt;&gt;"",Dashboard!$B$11&gt;0,$P10&lt;=Dashboard!$B$11),$P10,-999))</f>
        <v>-999</v>
      </c>
      <c r="R10" s="108">
        <f>IF(NOT(ISNUMBER(Dashboard!$B$11)),999,IF(AND($P10&lt;&gt;"",Dashboard!$B$11&gt;0,$P10&gt;=Dashboard!$B$11),$P10,999))</f>
        <v>999</v>
      </c>
      <c r="S10" s="108" t="str">
        <f t="shared" si="0"/>
        <v/>
      </c>
    </row>
    <row r="11" spans="1:19" ht="27.4" customHeight="1">
      <c r="A11" s="1" t="s">
        <v>2146</v>
      </c>
      <c r="B11" s="1" t="s">
        <v>2181</v>
      </c>
      <c r="C11" s="1">
        <v>80</v>
      </c>
      <c r="D11" s="1">
        <v>3.2</v>
      </c>
      <c r="E11" s="1">
        <v>1.2709999999999999</v>
      </c>
      <c r="F11" s="1" t="s">
        <v>3010</v>
      </c>
      <c r="G11" s="1" t="s">
        <v>3024</v>
      </c>
      <c r="H11" s="1" t="s">
        <v>2195</v>
      </c>
      <c r="I11" s="1" t="s">
        <v>2195</v>
      </c>
      <c r="J11" s="1" t="s">
        <v>2208</v>
      </c>
      <c r="K11" s="108" t="str">
        <f>IF(AND($A11=Dashboard!$B$8,$C11='Calc Engine'!$B$5),$E11,"")</f>
        <v/>
      </c>
      <c r="L11" s="108">
        <f>IF(NOT(ISNUMBER(Dashboard!$B$11)),999,IF(OR(Dashboard!$B$11&lt;=0,$E11=""),999,ABS($E11-Dashboard!$B$11)))</f>
        <v>7.9000000000000181E-2</v>
      </c>
      <c r="M11" s="108" t="str">
        <f>IF(NOT(ISNUMBER(Dashboard!$B$11)),"",IF(AND(Dashboard!$B$11&gt;0,$L11=MIN($L$2:$L$300)),"Closest overall reference",""))</f>
        <v/>
      </c>
      <c r="N11" s="108">
        <f>IF(NOT(ISNUMBER(Dashboard!$B$11)),999,IF(AND(Dashboard!$B$11&gt;0,$A11=Dashboard!$B$8,$E11&lt;&gt;""),ABS($E11-Dashboard!$B$11),999))</f>
        <v>999</v>
      </c>
      <c r="O11" s="108" t="str">
        <f>IF(NOT(ISNUMBER(Dashboard!$B$11)),"",IF(AND(Dashboard!$B$11&gt;0,$N11=MIN($N$2:$N$300)),"Closest same-material reference",""))</f>
        <v/>
      </c>
      <c r="P11" s="108" t="str">
        <f>IF(AND($A11=Dashboard!$B$8,$C11='Calc Engine'!$B$5,$E11&lt;&gt;""),$E11,"")</f>
        <v/>
      </c>
      <c r="Q11" s="108">
        <f>IF(NOT(ISNUMBER(Dashboard!$B$11)),-999,IF(AND($P11&lt;&gt;"",Dashboard!$B$11&gt;0,$P11&lt;=Dashboard!$B$11),$P11,-999))</f>
        <v>-999</v>
      </c>
      <c r="R11" s="108">
        <f>IF(NOT(ISNUMBER(Dashboard!$B$11)),999,IF(AND($P11&lt;&gt;"",Dashboard!$B$11&gt;0,$P11&gt;=Dashboard!$B$11),$P11,999))</f>
        <v>999</v>
      </c>
      <c r="S11" s="108" t="str">
        <f t="shared" si="0"/>
        <v/>
      </c>
    </row>
    <row r="12" spans="1:19" ht="41.1" customHeight="1">
      <c r="A12" s="1" t="s">
        <v>2146</v>
      </c>
      <c r="B12" s="1" t="s">
        <v>3012</v>
      </c>
      <c r="C12" s="1">
        <v>80</v>
      </c>
      <c r="D12" s="1">
        <v>3.2</v>
      </c>
      <c r="E12" s="1">
        <v>1.2709999999999999</v>
      </c>
      <c r="F12" s="1" t="s">
        <v>3013</v>
      </c>
      <c r="G12" s="1" t="s">
        <v>3025</v>
      </c>
      <c r="H12" s="1" t="s">
        <v>2195</v>
      </c>
      <c r="I12" s="1" t="s">
        <v>2195</v>
      </c>
      <c r="J12" s="1" t="s">
        <v>2208</v>
      </c>
      <c r="K12" s="108" t="str">
        <f>IF(AND($A12=Dashboard!$B$8,$C12='Calc Engine'!$B$5),$E12,"")</f>
        <v/>
      </c>
      <c r="L12" s="108">
        <f>IF(NOT(ISNUMBER(Dashboard!$B$11)),999,IF(OR(Dashboard!$B$11&lt;=0,$E12=""),999,ABS($E12-Dashboard!$B$11)))</f>
        <v>7.9000000000000181E-2</v>
      </c>
      <c r="M12" s="108" t="str">
        <f>IF(NOT(ISNUMBER(Dashboard!$B$11)),"",IF(AND(Dashboard!$B$11&gt;0,$L12=MIN($L$2:$L$300)),"Closest overall reference",""))</f>
        <v/>
      </c>
      <c r="N12" s="108">
        <f>IF(NOT(ISNUMBER(Dashboard!$B$11)),999,IF(AND(Dashboard!$B$11&gt;0,$A12=Dashboard!$B$8,$E12&lt;&gt;""),ABS($E12-Dashboard!$B$11),999))</f>
        <v>999</v>
      </c>
      <c r="O12" s="108" t="str">
        <f>IF(NOT(ISNUMBER(Dashboard!$B$11)),"",IF(AND(Dashboard!$B$11&gt;0,$N12=MIN($N$2:$N$300)),"Closest same-material reference",""))</f>
        <v/>
      </c>
      <c r="P12" s="108" t="str">
        <f>IF(AND($A12=Dashboard!$B$8,$C12='Calc Engine'!$B$5,$E12&lt;&gt;""),$E12,"")</f>
        <v/>
      </c>
      <c r="Q12" s="108">
        <f>IF(NOT(ISNUMBER(Dashboard!$B$11)),-999,IF(AND($P12&lt;&gt;"",Dashboard!$B$11&gt;0,$P12&lt;=Dashboard!$B$11),$P12,-999))</f>
        <v>-999</v>
      </c>
      <c r="R12" s="108">
        <f>IF(NOT(ISNUMBER(Dashboard!$B$11)),999,IF(AND($P12&lt;&gt;"",Dashboard!$B$11&gt;0,$P12&gt;=Dashboard!$B$11),$P12,999))</f>
        <v>999</v>
      </c>
      <c r="S12" s="108" t="str">
        <f t="shared" si="0"/>
        <v/>
      </c>
    </row>
    <row r="13" spans="1:19" ht="54.75" customHeight="1">
      <c r="A13" s="1" t="s">
        <v>2146</v>
      </c>
      <c r="B13" s="1" t="s">
        <v>3015</v>
      </c>
      <c r="C13" s="1">
        <v>80</v>
      </c>
      <c r="D13" s="1">
        <v>3.2</v>
      </c>
      <c r="E13" s="1">
        <v>1.2709999999999999</v>
      </c>
      <c r="F13" s="1" t="s">
        <v>3016</v>
      </c>
      <c r="G13" s="1" t="s">
        <v>3026</v>
      </c>
      <c r="H13" s="1" t="s">
        <v>2195</v>
      </c>
      <c r="I13" s="1" t="s">
        <v>2195</v>
      </c>
      <c r="J13" s="1" t="s">
        <v>2208</v>
      </c>
      <c r="K13" s="108" t="str">
        <f>IF(AND($A13=Dashboard!$B$8,$C13='Calc Engine'!$B$5),$E13,"")</f>
        <v/>
      </c>
      <c r="L13" s="108">
        <f>IF(NOT(ISNUMBER(Dashboard!$B$11)),999,IF(OR(Dashboard!$B$11&lt;=0,$E13=""),999,ABS($E13-Dashboard!$B$11)))</f>
        <v>7.9000000000000181E-2</v>
      </c>
      <c r="M13" s="108" t="str">
        <f>IF(NOT(ISNUMBER(Dashboard!$B$11)),"",IF(AND(Dashboard!$B$11&gt;0,$L13=MIN($L$2:$L$300)),"Closest overall reference",""))</f>
        <v/>
      </c>
      <c r="N13" s="108">
        <f>IF(NOT(ISNUMBER(Dashboard!$B$11)),999,IF(AND(Dashboard!$B$11&gt;0,$A13=Dashboard!$B$8,$E13&lt;&gt;""),ABS($E13-Dashboard!$B$11),999))</f>
        <v>999</v>
      </c>
      <c r="O13" s="108" t="str">
        <f>IF(NOT(ISNUMBER(Dashboard!$B$11)),"",IF(AND(Dashboard!$B$11&gt;0,$N13=MIN($N$2:$N$300)),"Closest same-material reference",""))</f>
        <v/>
      </c>
      <c r="P13" s="108" t="str">
        <f>IF(AND($A13=Dashboard!$B$8,$C13='Calc Engine'!$B$5,$E13&lt;&gt;""),$E13,"")</f>
        <v/>
      </c>
      <c r="Q13" s="108">
        <f>IF(NOT(ISNUMBER(Dashboard!$B$11)),-999,IF(AND($P13&lt;&gt;"",Dashboard!$B$11&gt;0,$P13&lt;=Dashboard!$B$11),$P13,-999))</f>
        <v>-999</v>
      </c>
      <c r="R13" s="108">
        <f>IF(NOT(ISNUMBER(Dashboard!$B$11)),999,IF(AND($P13&lt;&gt;"",Dashboard!$B$11&gt;0,$P13&gt;=Dashboard!$B$11),$P13,999))</f>
        <v>999</v>
      </c>
      <c r="S13" s="108" t="str">
        <f t="shared" si="0"/>
        <v/>
      </c>
    </row>
    <row r="14" spans="1:19" ht="27.4" customHeight="1">
      <c r="A14" s="1" t="s">
        <v>2146</v>
      </c>
      <c r="B14" s="1" t="s">
        <v>2181</v>
      </c>
      <c r="C14" s="1">
        <v>110</v>
      </c>
      <c r="D14" s="1">
        <v>3.6</v>
      </c>
      <c r="E14" s="1">
        <v>1.252</v>
      </c>
      <c r="F14" s="1" t="s">
        <v>3010</v>
      </c>
      <c r="G14" s="1" t="s">
        <v>3027</v>
      </c>
      <c r="H14" s="1" t="s">
        <v>2195</v>
      </c>
      <c r="I14" s="1" t="s">
        <v>2195</v>
      </c>
      <c r="J14" s="1" t="s">
        <v>2208</v>
      </c>
      <c r="K14" s="108" t="str">
        <f>IF(AND($A14=Dashboard!$B$8,$C14='Calc Engine'!$B$5),$E14,"")</f>
        <v/>
      </c>
      <c r="L14" s="108">
        <f>IF(NOT(ISNUMBER(Dashboard!$B$11)),999,IF(OR(Dashboard!$B$11&lt;=0,$E14=""),999,ABS($E14-Dashboard!$B$11)))</f>
        <v>9.8000000000000087E-2</v>
      </c>
      <c r="M14" s="108" t="str">
        <f>IF(NOT(ISNUMBER(Dashboard!$B$11)),"",IF(AND(Dashboard!$B$11&gt;0,$L14=MIN($L$2:$L$300)),"Closest overall reference",""))</f>
        <v/>
      </c>
      <c r="N14" s="108">
        <f>IF(NOT(ISNUMBER(Dashboard!$B$11)),999,IF(AND(Dashboard!$B$11&gt;0,$A14=Dashboard!$B$8,$E14&lt;&gt;""),ABS($E14-Dashboard!$B$11),999))</f>
        <v>999</v>
      </c>
      <c r="O14" s="108" t="str">
        <f>IF(NOT(ISNUMBER(Dashboard!$B$11)),"",IF(AND(Dashboard!$B$11&gt;0,$N14=MIN($N$2:$N$300)),"Closest same-material reference",""))</f>
        <v/>
      </c>
      <c r="P14" s="108" t="str">
        <f>IF(AND($A14=Dashboard!$B$8,$C14='Calc Engine'!$B$5,$E14&lt;&gt;""),$E14,"")</f>
        <v/>
      </c>
      <c r="Q14" s="108">
        <f>IF(NOT(ISNUMBER(Dashboard!$B$11)),-999,IF(AND($P14&lt;&gt;"",Dashboard!$B$11&gt;0,$P14&lt;=Dashboard!$B$11),$P14,-999))</f>
        <v>-999</v>
      </c>
      <c r="R14" s="108">
        <f>IF(NOT(ISNUMBER(Dashboard!$B$11)),999,IF(AND($P14&lt;&gt;"",Dashboard!$B$11&gt;0,$P14&gt;=Dashboard!$B$11),$P14,999))</f>
        <v>999</v>
      </c>
      <c r="S14" s="108" t="str">
        <f t="shared" si="0"/>
        <v/>
      </c>
    </row>
    <row r="15" spans="1:19" ht="41.1" customHeight="1">
      <c r="A15" s="1" t="s">
        <v>2146</v>
      </c>
      <c r="B15" s="1" t="s">
        <v>3012</v>
      </c>
      <c r="C15" s="1">
        <v>110</v>
      </c>
      <c r="D15" s="1">
        <v>3.6</v>
      </c>
      <c r="E15" s="1">
        <v>1.252</v>
      </c>
      <c r="F15" s="1" t="s">
        <v>3013</v>
      </c>
      <c r="G15" s="1" t="s">
        <v>3028</v>
      </c>
      <c r="H15" s="1" t="s">
        <v>2195</v>
      </c>
      <c r="I15" s="1" t="s">
        <v>2195</v>
      </c>
      <c r="J15" s="1" t="s">
        <v>2208</v>
      </c>
      <c r="K15" s="108" t="str">
        <f>IF(AND($A15=Dashboard!$B$8,$C15='Calc Engine'!$B$5),$E15,"")</f>
        <v/>
      </c>
      <c r="L15" s="108">
        <f>IF(NOT(ISNUMBER(Dashboard!$B$11)),999,IF(OR(Dashboard!$B$11&lt;=0,$E15=""),999,ABS($E15-Dashboard!$B$11)))</f>
        <v>9.8000000000000087E-2</v>
      </c>
      <c r="M15" s="108" t="str">
        <f>IF(NOT(ISNUMBER(Dashboard!$B$11)),"",IF(AND(Dashboard!$B$11&gt;0,$L15=MIN($L$2:$L$300)),"Closest overall reference",""))</f>
        <v/>
      </c>
      <c r="N15" s="108">
        <f>IF(NOT(ISNUMBER(Dashboard!$B$11)),999,IF(AND(Dashboard!$B$11&gt;0,$A15=Dashboard!$B$8,$E15&lt;&gt;""),ABS($E15-Dashboard!$B$11),999))</f>
        <v>999</v>
      </c>
      <c r="O15" s="108" t="str">
        <f>IF(NOT(ISNUMBER(Dashboard!$B$11)),"",IF(AND(Dashboard!$B$11&gt;0,$N15=MIN($N$2:$N$300)),"Closest same-material reference",""))</f>
        <v/>
      </c>
      <c r="P15" s="108" t="str">
        <f>IF(AND($A15=Dashboard!$B$8,$C15='Calc Engine'!$B$5,$E15&lt;&gt;""),$E15,"")</f>
        <v/>
      </c>
      <c r="Q15" s="108">
        <f>IF(NOT(ISNUMBER(Dashboard!$B$11)),-999,IF(AND($P15&lt;&gt;"",Dashboard!$B$11&gt;0,$P15&lt;=Dashboard!$B$11),$P15,-999))</f>
        <v>-999</v>
      </c>
      <c r="R15" s="108">
        <f>IF(NOT(ISNUMBER(Dashboard!$B$11)),999,IF(AND($P15&lt;&gt;"",Dashboard!$B$11&gt;0,$P15&gt;=Dashboard!$B$11),$P15,999))</f>
        <v>999</v>
      </c>
      <c r="S15" s="108" t="str">
        <f t="shared" si="0"/>
        <v/>
      </c>
    </row>
    <row r="16" spans="1:19" ht="54.75" customHeight="1">
      <c r="A16" s="1" t="s">
        <v>2146</v>
      </c>
      <c r="B16" s="1" t="s">
        <v>3015</v>
      </c>
      <c r="C16" s="1">
        <v>110</v>
      </c>
      <c r="D16" s="1">
        <v>3.6</v>
      </c>
      <c r="E16" s="1">
        <v>1.252</v>
      </c>
      <c r="F16" s="1" t="s">
        <v>3016</v>
      </c>
      <c r="G16" s="1" t="s">
        <v>3029</v>
      </c>
      <c r="H16" s="1" t="s">
        <v>2195</v>
      </c>
      <c r="I16" s="1" t="s">
        <v>2195</v>
      </c>
      <c r="J16" s="1" t="s">
        <v>2208</v>
      </c>
      <c r="K16" s="108" t="str">
        <f>IF(AND($A16=Dashboard!$B$8,$C16='Calc Engine'!$B$5),$E16,"")</f>
        <v/>
      </c>
      <c r="L16" s="108">
        <f>IF(NOT(ISNUMBER(Dashboard!$B$11)),999,IF(OR(Dashboard!$B$11&lt;=0,$E16=""),999,ABS($E16-Dashboard!$B$11)))</f>
        <v>9.8000000000000087E-2</v>
      </c>
      <c r="M16" s="108" t="str">
        <f>IF(NOT(ISNUMBER(Dashboard!$B$11)),"",IF(AND(Dashboard!$B$11&gt;0,$L16=MIN($L$2:$L$300)),"Closest overall reference",""))</f>
        <v/>
      </c>
      <c r="N16" s="108">
        <f>IF(NOT(ISNUMBER(Dashboard!$B$11)),999,IF(AND(Dashboard!$B$11&gt;0,$A16=Dashboard!$B$8,$E16&lt;&gt;""),ABS($E16-Dashboard!$B$11),999))</f>
        <v>999</v>
      </c>
      <c r="O16" s="108" t="str">
        <f>IF(NOT(ISNUMBER(Dashboard!$B$11)),"",IF(AND(Dashboard!$B$11&gt;0,$N16=MIN($N$2:$N$300)),"Closest same-material reference",""))</f>
        <v/>
      </c>
      <c r="P16" s="108" t="str">
        <f>IF(AND($A16=Dashboard!$B$8,$C16='Calc Engine'!$B$5,$E16&lt;&gt;""),$E16,"")</f>
        <v/>
      </c>
      <c r="Q16" s="108">
        <f>IF(NOT(ISNUMBER(Dashboard!$B$11)),-999,IF(AND($P16&lt;&gt;"",Dashboard!$B$11&gt;0,$P16&lt;=Dashboard!$B$11),$P16,-999))</f>
        <v>-999</v>
      </c>
      <c r="R16" s="108">
        <f>IF(NOT(ISNUMBER(Dashboard!$B$11)),999,IF(AND($P16&lt;&gt;"",Dashboard!$B$11&gt;0,$P16&gt;=Dashboard!$B$11),$P16,999))</f>
        <v>999</v>
      </c>
      <c r="S16" s="108" t="str">
        <f t="shared" si="0"/>
        <v/>
      </c>
    </row>
    <row r="17" spans="1:19" ht="27.4" customHeight="1">
      <c r="A17" s="1" t="s">
        <v>2146</v>
      </c>
      <c r="B17" s="1" t="s">
        <v>2181</v>
      </c>
      <c r="C17" s="1">
        <v>130</v>
      </c>
      <c r="D17" s="1">
        <v>3.6</v>
      </c>
      <c r="E17" s="1">
        <v>1.2210000000000001</v>
      </c>
      <c r="F17" s="1" t="s">
        <v>3010</v>
      </c>
      <c r="G17" s="1" t="s">
        <v>3030</v>
      </c>
      <c r="H17" s="1" t="s">
        <v>2195</v>
      </c>
      <c r="I17" s="1" t="s">
        <v>2195</v>
      </c>
      <c r="J17" s="1" t="s">
        <v>2208</v>
      </c>
      <c r="K17" s="108" t="str">
        <f>IF(AND($A17=Dashboard!$B$8,$C17='Calc Engine'!$B$5),$E17,"")</f>
        <v/>
      </c>
      <c r="L17" s="108">
        <f>IF(NOT(ISNUMBER(Dashboard!$B$11)),999,IF(OR(Dashboard!$B$11&lt;=0,$E17=""),999,ABS($E17-Dashboard!$B$11)))</f>
        <v>0.129</v>
      </c>
      <c r="M17" s="108" t="str">
        <f>IF(NOT(ISNUMBER(Dashboard!$B$11)),"",IF(AND(Dashboard!$B$11&gt;0,$L17=MIN($L$2:$L$300)),"Closest overall reference",""))</f>
        <v/>
      </c>
      <c r="N17" s="108">
        <f>IF(NOT(ISNUMBER(Dashboard!$B$11)),999,IF(AND(Dashboard!$B$11&gt;0,$A17=Dashboard!$B$8,$E17&lt;&gt;""),ABS($E17-Dashboard!$B$11),999))</f>
        <v>999</v>
      </c>
      <c r="O17" s="108" t="str">
        <f>IF(NOT(ISNUMBER(Dashboard!$B$11)),"",IF(AND(Dashboard!$B$11&gt;0,$N17=MIN($N$2:$N$300)),"Closest same-material reference",""))</f>
        <v/>
      </c>
      <c r="P17" s="108" t="str">
        <f>IF(AND($A17=Dashboard!$B$8,$C17='Calc Engine'!$B$5,$E17&lt;&gt;""),$E17,"")</f>
        <v/>
      </c>
      <c r="Q17" s="108">
        <f>IF(NOT(ISNUMBER(Dashboard!$B$11)),-999,IF(AND($P17&lt;&gt;"",Dashboard!$B$11&gt;0,$P17&lt;=Dashboard!$B$11),$P17,-999))</f>
        <v>-999</v>
      </c>
      <c r="R17" s="108">
        <f>IF(NOT(ISNUMBER(Dashboard!$B$11)),999,IF(AND($P17&lt;&gt;"",Dashboard!$B$11&gt;0,$P17&gt;=Dashboard!$B$11),$P17,999))</f>
        <v>999</v>
      </c>
      <c r="S17" s="108" t="str">
        <f t="shared" si="0"/>
        <v/>
      </c>
    </row>
    <row r="18" spans="1:19" ht="41.1" customHeight="1">
      <c r="A18" s="1" t="s">
        <v>2146</v>
      </c>
      <c r="B18" s="1" t="s">
        <v>3012</v>
      </c>
      <c r="C18" s="1">
        <v>130</v>
      </c>
      <c r="D18" s="1">
        <v>3.6</v>
      </c>
      <c r="E18" s="1">
        <v>1.2210000000000001</v>
      </c>
      <c r="F18" s="1" t="s">
        <v>3013</v>
      </c>
      <c r="G18" s="1" t="s">
        <v>3031</v>
      </c>
      <c r="H18" s="1" t="s">
        <v>2195</v>
      </c>
      <c r="I18" s="1" t="s">
        <v>2195</v>
      </c>
      <c r="J18" s="1" t="s">
        <v>2208</v>
      </c>
      <c r="K18" s="108" t="str">
        <f>IF(AND($A18=Dashboard!$B$8,$C18='Calc Engine'!$B$5),$E18,"")</f>
        <v/>
      </c>
      <c r="L18" s="108">
        <f>IF(NOT(ISNUMBER(Dashboard!$B$11)),999,IF(OR(Dashboard!$B$11&lt;=0,$E18=""),999,ABS($E18-Dashboard!$B$11)))</f>
        <v>0.129</v>
      </c>
      <c r="M18" s="108" t="str">
        <f>IF(NOT(ISNUMBER(Dashboard!$B$11)),"",IF(AND(Dashboard!$B$11&gt;0,$L18=MIN($L$2:$L$300)),"Closest overall reference",""))</f>
        <v/>
      </c>
      <c r="N18" s="108">
        <f>IF(NOT(ISNUMBER(Dashboard!$B$11)),999,IF(AND(Dashboard!$B$11&gt;0,$A18=Dashboard!$B$8,$E18&lt;&gt;""),ABS($E18-Dashboard!$B$11),999))</f>
        <v>999</v>
      </c>
      <c r="O18" s="108" t="str">
        <f>IF(NOT(ISNUMBER(Dashboard!$B$11)),"",IF(AND(Dashboard!$B$11&gt;0,$N18=MIN($N$2:$N$300)),"Closest same-material reference",""))</f>
        <v/>
      </c>
      <c r="P18" s="108" t="str">
        <f>IF(AND($A18=Dashboard!$B$8,$C18='Calc Engine'!$B$5,$E18&lt;&gt;""),$E18,"")</f>
        <v/>
      </c>
      <c r="Q18" s="108">
        <f>IF(NOT(ISNUMBER(Dashboard!$B$11)),-999,IF(AND($P18&lt;&gt;"",Dashboard!$B$11&gt;0,$P18&lt;=Dashboard!$B$11),$P18,-999))</f>
        <v>-999</v>
      </c>
      <c r="R18" s="108">
        <f>IF(NOT(ISNUMBER(Dashboard!$B$11)),999,IF(AND($P18&lt;&gt;"",Dashboard!$B$11&gt;0,$P18&gt;=Dashboard!$B$11),$P18,999))</f>
        <v>999</v>
      </c>
      <c r="S18" s="108" t="str">
        <f t="shared" si="0"/>
        <v/>
      </c>
    </row>
    <row r="19" spans="1:19" ht="54.75" customHeight="1">
      <c r="A19" s="1" t="s">
        <v>2146</v>
      </c>
      <c r="B19" s="1" t="s">
        <v>3015</v>
      </c>
      <c r="C19" s="1">
        <v>130</v>
      </c>
      <c r="D19" s="1">
        <v>3.6</v>
      </c>
      <c r="E19" s="1">
        <v>1.2210000000000001</v>
      </c>
      <c r="F19" s="1" t="s">
        <v>3016</v>
      </c>
      <c r="G19" s="1" t="s">
        <v>3032</v>
      </c>
      <c r="H19" s="1" t="s">
        <v>2195</v>
      </c>
      <c r="I19" s="1" t="s">
        <v>2195</v>
      </c>
      <c r="J19" s="1" t="s">
        <v>2208</v>
      </c>
      <c r="K19" s="108" t="str">
        <f>IF(AND($A19=Dashboard!$B$8,$C19='Calc Engine'!$B$5),$E19,"")</f>
        <v/>
      </c>
      <c r="L19" s="108">
        <f>IF(NOT(ISNUMBER(Dashboard!$B$11)),999,IF(OR(Dashboard!$B$11&lt;=0,$E19=""),999,ABS($E19-Dashboard!$B$11)))</f>
        <v>0.129</v>
      </c>
      <c r="M19" s="108" t="str">
        <f>IF(NOT(ISNUMBER(Dashboard!$B$11)),"",IF(AND(Dashboard!$B$11&gt;0,$L19=MIN($L$2:$L$300)),"Closest overall reference",""))</f>
        <v/>
      </c>
      <c r="N19" s="108">
        <f>IF(NOT(ISNUMBER(Dashboard!$B$11)),999,IF(AND(Dashboard!$B$11&gt;0,$A19=Dashboard!$B$8,$E19&lt;&gt;""),ABS($E19-Dashboard!$B$11),999))</f>
        <v>999</v>
      </c>
      <c r="O19" s="108" t="str">
        <f>IF(NOT(ISNUMBER(Dashboard!$B$11)),"",IF(AND(Dashboard!$B$11&gt;0,$N19=MIN($N$2:$N$300)),"Closest same-material reference",""))</f>
        <v/>
      </c>
      <c r="P19" s="108" t="str">
        <f>IF(AND($A19=Dashboard!$B$8,$C19='Calc Engine'!$B$5,$E19&lt;&gt;""),$E19,"")</f>
        <v/>
      </c>
      <c r="Q19" s="108">
        <f>IF(NOT(ISNUMBER(Dashboard!$B$11)),-999,IF(AND($P19&lt;&gt;"",Dashboard!$B$11&gt;0,$P19&lt;=Dashboard!$B$11),$P19,-999))</f>
        <v>-999</v>
      </c>
      <c r="R19" s="108">
        <f>IF(NOT(ISNUMBER(Dashboard!$B$11)),999,IF(AND($P19&lt;&gt;"",Dashboard!$B$11&gt;0,$P19&gt;=Dashboard!$B$11),$P19,999))</f>
        <v>999</v>
      </c>
      <c r="S19" s="108" t="str">
        <f t="shared" si="0"/>
        <v/>
      </c>
    </row>
    <row r="20" spans="1:19" ht="27.4" customHeight="1">
      <c r="A20" s="1" t="s">
        <v>2146</v>
      </c>
      <c r="B20" s="1" t="s">
        <v>2181</v>
      </c>
      <c r="C20" s="1">
        <v>160</v>
      </c>
      <c r="D20" s="1">
        <v>3.6</v>
      </c>
      <c r="E20" s="1">
        <v>1.1870000000000001</v>
      </c>
      <c r="F20" s="1" t="s">
        <v>3010</v>
      </c>
      <c r="G20" s="1" t="s">
        <v>3033</v>
      </c>
      <c r="H20" s="1" t="s">
        <v>2195</v>
      </c>
      <c r="I20" s="1" t="s">
        <v>2195</v>
      </c>
      <c r="J20" s="1" t="s">
        <v>2208</v>
      </c>
      <c r="K20" s="108" t="str">
        <f>IF(AND($A20=Dashboard!$B$8,$C20='Calc Engine'!$B$5),$E20,"")</f>
        <v/>
      </c>
      <c r="L20" s="108">
        <f>IF(NOT(ISNUMBER(Dashboard!$B$11)),999,IF(OR(Dashboard!$B$11&lt;=0,$E20=""),999,ABS($E20-Dashboard!$B$11)))</f>
        <v>0.16300000000000003</v>
      </c>
      <c r="M20" s="108" t="str">
        <f>IF(NOT(ISNUMBER(Dashboard!$B$11)),"",IF(AND(Dashboard!$B$11&gt;0,$L20=MIN($L$2:$L$300)),"Closest overall reference",""))</f>
        <v/>
      </c>
      <c r="N20" s="108">
        <f>IF(NOT(ISNUMBER(Dashboard!$B$11)),999,IF(AND(Dashboard!$B$11&gt;0,$A20=Dashboard!$B$8,$E20&lt;&gt;""),ABS($E20-Dashboard!$B$11),999))</f>
        <v>999</v>
      </c>
      <c r="O20" s="108" t="str">
        <f>IF(NOT(ISNUMBER(Dashboard!$B$11)),"",IF(AND(Dashboard!$B$11&gt;0,$N20=MIN($N$2:$N$300)),"Closest same-material reference",""))</f>
        <v/>
      </c>
      <c r="P20" s="108" t="str">
        <f>IF(AND($A20=Dashboard!$B$8,$C20='Calc Engine'!$B$5,$E20&lt;&gt;""),$E20,"")</f>
        <v/>
      </c>
      <c r="Q20" s="108">
        <f>IF(NOT(ISNUMBER(Dashboard!$B$11)),-999,IF(AND($P20&lt;&gt;"",Dashboard!$B$11&gt;0,$P20&lt;=Dashboard!$B$11),$P20,-999))</f>
        <v>-999</v>
      </c>
      <c r="R20" s="108">
        <f>IF(NOT(ISNUMBER(Dashboard!$B$11)),999,IF(AND($P20&lt;&gt;"",Dashboard!$B$11&gt;0,$P20&gt;=Dashboard!$B$11),$P20,999))</f>
        <v>999</v>
      </c>
      <c r="S20" s="108" t="str">
        <f t="shared" si="0"/>
        <v/>
      </c>
    </row>
    <row r="21" spans="1:19" ht="41.1" customHeight="1">
      <c r="A21" s="1" t="s">
        <v>2146</v>
      </c>
      <c r="B21" s="1" t="s">
        <v>3012</v>
      </c>
      <c r="C21" s="1">
        <v>160</v>
      </c>
      <c r="D21" s="1">
        <v>3.6</v>
      </c>
      <c r="E21" s="1">
        <v>1.1870000000000001</v>
      </c>
      <c r="F21" s="1" t="s">
        <v>3013</v>
      </c>
      <c r="G21" s="1" t="s">
        <v>3034</v>
      </c>
      <c r="H21" s="1" t="s">
        <v>2195</v>
      </c>
      <c r="I21" s="1" t="s">
        <v>2195</v>
      </c>
      <c r="J21" s="1" t="s">
        <v>2208</v>
      </c>
      <c r="K21" s="108" t="str">
        <f>IF(AND($A21=Dashboard!$B$8,$C21='Calc Engine'!$B$5),$E21,"")</f>
        <v/>
      </c>
      <c r="L21" s="108">
        <f>IF(NOT(ISNUMBER(Dashboard!$B$11)),999,IF(OR(Dashboard!$B$11&lt;=0,$E21=""),999,ABS($E21-Dashboard!$B$11)))</f>
        <v>0.16300000000000003</v>
      </c>
      <c r="M21" s="108" t="str">
        <f>IF(NOT(ISNUMBER(Dashboard!$B$11)),"",IF(AND(Dashboard!$B$11&gt;0,$L21=MIN($L$2:$L$300)),"Closest overall reference",""))</f>
        <v/>
      </c>
      <c r="N21" s="108">
        <f>IF(NOT(ISNUMBER(Dashboard!$B$11)),999,IF(AND(Dashboard!$B$11&gt;0,$A21=Dashboard!$B$8,$E21&lt;&gt;""),ABS($E21-Dashboard!$B$11),999))</f>
        <v>999</v>
      </c>
      <c r="O21" s="108" t="str">
        <f>IF(NOT(ISNUMBER(Dashboard!$B$11)),"",IF(AND(Dashboard!$B$11&gt;0,$N21=MIN($N$2:$N$300)),"Closest same-material reference",""))</f>
        <v/>
      </c>
      <c r="P21" s="108" t="str">
        <f>IF(AND($A21=Dashboard!$B$8,$C21='Calc Engine'!$B$5,$E21&lt;&gt;""),$E21,"")</f>
        <v/>
      </c>
      <c r="Q21" s="108">
        <f>IF(NOT(ISNUMBER(Dashboard!$B$11)),-999,IF(AND($P21&lt;&gt;"",Dashboard!$B$11&gt;0,$P21&lt;=Dashboard!$B$11),$P21,-999))</f>
        <v>-999</v>
      </c>
      <c r="R21" s="108">
        <f>IF(NOT(ISNUMBER(Dashboard!$B$11)),999,IF(AND($P21&lt;&gt;"",Dashboard!$B$11&gt;0,$P21&gt;=Dashboard!$B$11),$P21,999))</f>
        <v>999</v>
      </c>
      <c r="S21" s="108" t="str">
        <f t="shared" si="0"/>
        <v/>
      </c>
    </row>
    <row r="22" spans="1:19" ht="54.75" customHeight="1">
      <c r="A22" s="1" t="s">
        <v>2146</v>
      </c>
      <c r="B22" s="1" t="s">
        <v>3015</v>
      </c>
      <c r="C22" s="1">
        <v>160</v>
      </c>
      <c r="D22" s="1">
        <v>3.6</v>
      </c>
      <c r="E22" s="1">
        <v>1.1870000000000001</v>
      </c>
      <c r="F22" s="1" t="s">
        <v>3016</v>
      </c>
      <c r="G22" s="1" t="s">
        <v>3035</v>
      </c>
      <c r="H22" s="1" t="s">
        <v>2195</v>
      </c>
      <c r="I22" s="1" t="s">
        <v>2195</v>
      </c>
      <c r="J22" s="1" t="s">
        <v>2208</v>
      </c>
      <c r="K22" s="108" t="str">
        <f>IF(AND($A22=Dashboard!$B$8,$C22='Calc Engine'!$B$5),$E22,"")</f>
        <v/>
      </c>
      <c r="L22" s="108">
        <f>IF(NOT(ISNUMBER(Dashboard!$B$11)),999,IF(OR(Dashboard!$B$11&lt;=0,$E22=""),999,ABS($E22-Dashboard!$B$11)))</f>
        <v>0.16300000000000003</v>
      </c>
      <c r="M22" s="108" t="str">
        <f>IF(NOT(ISNUMBER(Dashboard!$B$11)),"",IF(AND(Dashboard!$B$11&gt;0,$L22=MIN($L$2:$L$300)),"Closest overall reference",""))</f>
        <v/>
      </c>
      <c r="N22" s="108">
        <f>IF(NOT(ISNUMBER(Dashboard!$B$11)),999,IF(AND(Dashboard!$B$11&gt;0,$A22=Dashboard!$B$8,$E22&lt;&gt;""),ABS($E22-Dashboard!$B$11),999))</f>
        <v>999</v>
      </c>
      <c r="O22" s="108" t="str">
        <f>IF(NOT(ISNUMBER(Dashboard!$B$11)),"",IF(AND(Dashboard!$B$11&gt;0,$N22=MIN($N$2:$N$300)),"Closest same-material reference",""))</f>
        <v/>
      </c>
      <c r="P22" s="108" t="str">
        <f>IF(AND($A22=Dashboard!$B$8,$C22='Calc Engine'!$B$5,$E22&lt;&gt;""),$E22,"")</f>
        <v/>
      </c>
      <c r="Q22" s="108">
        <f>IF(NOT(ISNUMBER(Dashboard!$B$11)),-999,IF(AND($P22&lt;&gt;"",Dashboard!$B$11&gt;0,$P22&lt;=Dashboard!$B$11),$P22,-999))</f>
        <v>-999</v>
      </c>
      <c r="R22" s="108">
        <f>IF(NOT(ISNUMBER(Dashboard!$B$11)),999,IF(AND($P22&lt;&gt;"",Dashboard!$B$11&gt;0,$P22&gt;=Dashboard!$B$11),$P22,999))</f>
        <v>999</v>
      </c>
      <c r="S22" s="108" t="str">
        <f t="shared" si="0"/>
        <v/>
      </c>
    </row>
    <row r="23" spans="1:19" ht="27.4" customHeight="1">
      <c r="A23" s="1" t="s">
        <v>2146</v>
      </c>
      <c r="B23" s="1" t="s">
        <v>2181</v>
      </c>
      <c r="C23" s="1">
        <v>180</v>
      </c>
      <c r="D23" s="1">
        <v>4</v>
      </c>
      <c r="E23" s="1">
        <v>1.181</v>
      </c>
      <c r="F23" s="1" t="s">
        <v>3010</v>
      </c>
      <c r="G23" s="1" t="s">
        <v>3036</v>
      </c>
      <c r="H23" s="1" t="s">
        <v>2195</v>
      </c>
      <c r="I23" s="1" t="s">
        <v>2195</v>
      </c>
      <c r="J23" s="1" t="s">
        <v>2208</v>
      </c>
      <c r="K23" s="108" t="str">
        <f>IF(AND($A23=Dashboard!$B$8,$C23='Calc Engine'!$B$5),$E23,"")</f>
        <v/>
      </c>
      <c r="L23" s="108">
        <f>IF(NOT(ISNUMBER(Dashboard!$B$11)),999,IF(OR(Dashboard!$B$11&lt;=0,$E23=""),999,ABS($E23-Dashboard!$B$11)))</f>
        <v>0.16900000000000004</v>
      </c>
      <c r="M23" s="108" t="str">
        <f>IF(NOT(ISNUMBER(Dashboard!$B$11)),"",IF(AND(Dashboard!$B$11&gt;0,$L23=MIN($L$2:$L$300)),"Closest overall reference",""))</f>
        <v/>
      </c>
      <c r="N23" s="108">
        <f>IF(NOT(ISNUMBER(Dashboard!$B$11)),999,IF(AND(Dashboard!$B$11&gt;0,$A23=Dashboard!$B$8,$E23&lt;&gt;""),ABS($E23-Dashboard!$B$11),999))</f>
        <v>999</v>
      </c>
      <c r="O23" s="108" t="str">
        <f>IF(NOT(ISNUMBER(Dashboard!$B$11)),"",IF(AND(Dashboard!$B$11&gt;0,$N23=MIN($N$2:$N$300)),"Closest same-material reference",""))</f>
        <v/>
      </c>
      <c r="P23" s="108" t="str">
        <f>IF(AND($A23=Dashboard!$B$8,$C23='Calc Engine'!$B$5,$E23&lt;&gt;""),$E23,"")</f>
        <v/>
      </c>
      <c r="Q23" s="108">
        <f>IF(NOT(ISNUMBER(Dashboard!$B$11)),-999,IF(AND($P23&lt;&gt;"",Dashboard!$B$11&gt;0,$P23&lt;=Dashboard!$B$11),$P23,-999))</f>
        <v>-999</v>
      </c>
      <c r="R23" s="108">
        <f>IF(NOT(ISNUMBER(Dashboard!$B$11)),999,IF(AND($P23&lt;&gt;"",Dashboard!$B$11&gt;0,$P23&gt;=Dashboard!$B$11),$P23,999))</f>
        <v>999</v>
      </c>
      <c r="S23" s="108" t="str">
        <f t="shared" si="0"/>
        <v/>
      </c>
    </row>
    <row r="24" spans="1:19" ht="41.1" customHeight="1">
      <c r="A24" s="1" t="s">
        <v>2146</v>
      </c>
      <c r="B24" s="1" t="s">
        <v>3012</v>
      </c>
      <c r="C24" s="1">
        <v>180</v>
      </c>
      <c r="D24" s="1">
        <v>4</v>
      </c>
      <c r="E24" s="1">
        <v>1.181</v>
      </c>
      <c r="F24" s="1" t="s">
        <v>3013</v>
      </c>
      <c r="G24" s="1" t="s">
        <v>3037</v>
      </c>
      <c r="H24" s="1" t="s">
        <v>2195</v>
      </c>
      <c r="I24" s="1" t="s">
        <v>2195</v>
      </c>
      <c r="J24" s="1" t="s">
        <v>2208</v>
      </c>
      <c r="K24" s="108" t="str">
        <f>IF(AND($A24=Dashboard!$B$8,$C24='Calc Engine'!$B$5),$E24,"")</f>
        <v/>
      </c>
      <c r="L24" s="108">
        <f>IF(NOT(ISNUMBER(Dashboard!$B$11)),999,IF(OR(Dashboard!$B$11&lt;=0,$E24=""),999,ABS($E24-Dashboard!$B$11)))</f>
        <v>0.16900000000000004</v>
      </c>
      <c r="M24" s="108" t="str">
        <f>IF(NOT(ISNUMBER(Dashboard!$B$11)),"",IF(AND(Dashboard!$B$11&gt;0,$L24=MIN($L$2:$L$300)),"Closest overall reference",""))</f>
        <v/>
      </c>
      <c r="N24" s="108">
        <f>IF(NOT(ISNUMBER(Dashboard!$B$11)),999,IF(AND(Dashboard!$B$11&gt;0,$A24=Dashboard!$B$8,$E24&lt;&gt;""),ABS($E24-Dashboard!$B$11),999))</f>
        <v>999</v>
      </c>
      <c r="O24" s="108" t="str">
        <f>IF(NOT(ISNUMBER(Dashboard!$B$11)),"",IF(AND(Dashboard!$B$11&gt;0,$N24=MIN($N$2:$N$300)),"Closest same-material reference",""))</f>
        <v/>
      </c>
      <c r="P24" s="108" t="str">
        <f>IF(AND($A24=Dashboard!$B$8,$C24='Calc Engine'!$B$5,$E24&lt;&gt;""),$E24,"")</f>
        <v/>
      </c>
      <c r="Q24" s="108">
        <f>IF(NOT(ISNUMBER(Dashboard!$B$11)),-999,IF(AND($P24&lt;&gt;"",Dashboard!$B$11&gt;0,$P24&lt;=Dashboard!$B$11),$P24,-999))</f>
        <v>-999</v>
      </c>
      <c r="R24" s="108">
        <f>IF(NOT(ISNUMBER(Dashboard!$B$11)),999,IF(AND($P24&lt;&gt;"",Dashboard!$B$11&gt;0,$P24&gt;=Dashboard!$B$11),$P24,999))</f>
        <v>999</v>
      </c>
      <c r="S24" s="108" t="str">
        <f t="shared" si="0"/>
        <v/>
      </c>
    </row>
    <row r="25" spans="1:19" ht="54.75" customHeight="1">
      <c r="A25" s="1" t="s">
        <v>2146</v>
      </c>
      <c r="B25" s="1" t="s">
        <v>3015</v>
      </c>
      <c r="C25" s="1">
        <v>180</v>
      </c>
      <c r="D25" s="1">
        <v>4</v>
      </c>
      <c r="E25" s="1">
        <v>1.181</v>
      </c>
      <c r="F25" s="1" t="s">
        <v>3016</v>
      </c>
      <c r="G25" s="1" t="s">
        <v>3038</v>
      </c>
      <c r="H25" s="1" t="s">
        <v>2195</v>
      </c>
      <c r="I25" s="1" t="s">
        <v>2195</v>
      </c>
      <c r="J25" s="1" t="s">
        <v>2208</v>
      </c>
      <c r="K25" s="108" t="str">
        <f>IF(AND($A25=Dashboard!$B$8,$C25='Calc Engine'!$B$5),$E25,"")</f>
        <v/>
      </c>
      <c r="L25" s="108">
        <f>IF(NOT(ISNUMBER(Dashboard!$B$11)),999,IF(OR(Dashboard!$B$11&lt;=0,$E25=""),999,ABS($E25-Dashboard!$B$11)))</f>
        <v>0.16900000000000004</v>
      </c>
      <c r="M25" s="108" t="str">
        <f>IF(NOT(ISNUMBER(Dashboard!$B$11)),"",IF(AND(Dashboard!$B$11&gt;0,$L25=MIN($L$2:$L$300)),"Closest overall reference",""))</f>
        <v/>
      </c>
      <c r="N25" s="108">
        <f>IF(NOT(ISNUMBER(Dashboard!$B$11)),999,IF(AND(Dashboard!$B$11&gt;0,$A25=Dashboard!$B$8,$E25&lt;&gt;""),ABS($E25-Dashboard!$B$11),999))</f>
        <v>999</v>
      </c>
      <c r="O25" s="108" t="str">
        <f>IF(NOT(ISNUMBER(Dashboard!$B$11)),"",IF(AND(Dashboard!$B$11&gt;0,$N25=MIN($N$2:$N$300)),"Closest same-material reference",""))</f>
        <v/>
      </c>
      <c r="P25" s="108" t="str">
        <f>IF(AND($A25=Dashboard!$B$8,$C25='Calc Engine'!$B$5,$E25&lt;&gt;""),$E25,"")</f>
        <v/>
      </c>
      <c r="Q25" s="108">
        <f>IF(NOT(ISNUMBER(Dashboard!$B$11)),-999,IF(AND($P25&lt;&gt;"",Dashboard!$B$11&gt;0,$P25&lt;=Dashboard!$B$11),$P25,-999))</f>
        <v>-999</v>
      </c>
      <c r="R25" s="108">
        <f>IF(NOT(ISNUMBER(Dashboard!$B$11)),999,IF(AND($P25&lt;&gt;"",Dashboard!$B$11&gt;0,$P25&gt;=Dashboard!$B$11),$P25,999))</f>
        <v>999</v>
      </c>
      <c r="S25" s="108" t="str">
        <f t="shared" si="0"/>
        <v/>
      </c>
    </row>
    <row r="26" spans="1:19" ht="27.4" customHeight="1">
      <c r="A26" s="1" t="s">
        <v>2146</v>
      </c>
      <c r="B26" s="1" t="s">
        <v>2181</v>
      </c>
      <c r="C26" s="1">
        <v>210</v>
      </c>
      <c r="D26" s="1">
        <v>4</v>
      </c>
      <c r="E26" s="1">
        <v>1.1559999999999999</v>
      </c>
      <c r="F26" s="1" t="s">
        <v>3010</v>
      </c>
      <c r="G26" s="1" t="s">
        <v>3039</v>
      </c>
      <c r="H26" s="1" t="s">
        <v>2195</v>
      </c>
      <c r="I26" s="1" t="s">
        <v>2195</v>
      </c>
      <c r="J26" s="1" t="s">
        <v>2208</v>
      </c>
      <c r="K26" s="108" t="str">
        <f>IF(AND($A26=Dashboard!$B$8,$C26='Calc Engine'!$B$5),$E26,"")</f>
        <v/>
      </c>
      <c r="L26" s="108">
        <f>IF(NOT(ISNUMBER(Dashboard!$B$11)),999,IF(OR(Dashboard!$B$11&lt;=0,$E26=""),999,ABS($E26-Dashboard!$B$11)))</f>
        <v>0.19400000000000017</v>
      </c>
      <c r="M26" s="108" t="str">
        <f>IF(NOT(ISNUMBER(Dashboard!$B$11)),"",IF(AND(Dashboard!$B$11&gt;0,$L26=MIN($L$2:$L$300)),"Closest overall reference",""))</f>
        <v/>
      </c>
      <c r="N26" s="108">
        <f>IF(NOT(ISNUMBER(Dashboard!$B$11)),999,IF(AND(Dashboard!$B$11&gt;0,$A26=Dashboard!$B$8,$E26&lt;&gt;""),ABS($E26-Dashboard!$B$11),999))</f>
        <v>999</v>
      </c>
      <c r="O26" s="108" t="str">
        <f>IF(NOT(ISNUMBER(Dashboard!$B$11)),"",IF(AND(Dashboard!$B$11&gt;0,$N26=MIN($N$2:$N$300)),"Closest same-material reference",""))</f>
        <v/>
      </c>
      <c r="P26" s="108" t="str">
        <f>IF(AND($A26=Dashboard!$B$8,$C26='Calc Engine'!$B$5,$E26&lt;&gt;""),$E26,"")</f>
        <v/>
      </c>
      <c r="Q26" s="108">
        <f>IF(NOT(ISNUMBER(Dashboard!$B$11)),-999,IF(AND($P26&lt;&gt;"",Dashboard!$B$11&gt;0,$P26&lt;=Dashboard!$B$11),$P26,-999))</f>
        <v>-999</v>
      </c>
      <c r="R26" s="108">
        <f>IF(NOT(ISNUMBER(Dashboard!$B$11)),999,IF(AND($P26&lt;&gt;"",Dashboard!$B$11&gt;0,$P26&gt;=Dashboard!$B$11),$P26,999))</f>
        <v>999</v>
      </c>
      <c r="S26" s="108" t="str">
        <f t="shared" si="0"/>
        <v/>
      </c>
    </row>
    <row r="27" spans="1:19" ht="41.1" customHeight="1">
      <c r="A27" s="1" t="s">
        <v>2146</v>
      </c>
      <c r="B27" s="1" t="s">
        <v>3012</v>
      </c>
      <c r="C27" s="1">
        <v>210</v>
      </c>
      <c r="D27" s="1">
        <v>4</v>
      </c>
      <c r="E27" s="1">
        <v>1.1559999999999999</v>
      </c>
      <c r="F27" s="1" t="s">
        <v>3013</v>
      </c>
      <c r="G27" s="1" t="s">
        <v>3040</v>
      </c>
      <c r="H27" s="1" t="s">
        <v>2195</v>
      </c>
      <c r="I27" s="1" t="s">
        <v>2195</v>
      </c>
      <c r="J27" s="1" t="s">
        <v>2208</v>
      </c>
      <c r="K27" s="108" t="str">
        <f>IF(AND($A27=Dashboard!$B$8,$C27='Calc Engine'!$B$5),$E27,"")</f>
        <v/>
      </c>
      <c r="L27" s="108">
        <f>IF(NOT(ISNUMBER(Dashboard!$B$11)),999,IF(OR(Dashboard!$B$11&lt;=0,$E27=""),999,ABS($E27-Dashboard!$B$11)))</f>
        <v>0.19400000000000017</v>
      </c>
      <c r="M27" s="108" t="str">
        <f>IF(NOT(ISNUMBER(Dashboard!$B$11)),"",IF(AND(Dashboard!$B$11&gt;0,$L27=MIN($L$2:$L$300)),"Closest overall reference",""))</f>
        <v/>
      </c>
      <c r="N27" s="108">
        <f>IF(NOT(ISNUMBER(Dashboard!$B$11)),999,IF(AND(Dashboard!$B$11&gt;0,$A27=Dashboard!$B$8,$E27&lt;&gt;""),ABS($E27-Dashboard!$B$11),999))</f>
        <v>999</v>
      </c>
      <c r="O27" s="108" t="str">
        <f>IF(NOT(ISNUMBER(Dashboard!$B$11)),"",IF(AND(Dashboard!$B$11&gt;0,$N27=MIN($N$2:$N$300)),"Closest same-material reference",""))</f>
        <v/>
      </c>
      <c r="P27" s="108" t="str">
        <f>IF(AND($A27=Dashboard!$B$8,$C27='Calc Engine'!$B$5,$E27&lt;&gt;""),$E27,"")</f>
        <v/>
      </c>
      <c r="Q27" s="108">
        <f>IF(NOT(ISNUMBER(Dashboard!$B$11)),-999,IF(AND($P27&lt;&gt;"",Dashboard!$B$11&gt;0,$P27&lt;=Dashboard!$B$11),$P27,-999))</f>
        <v>-999</v>
      </c>
      <c r="R27" s="108">
        <f>IF(NOT(ISNUMBER(Dashboard!$B$11)),999,IF(AND($P27&lt;&gt;"",Dashboard!$B$11&gt;0,$P27&gt;=Dashboard!$B$11),$P27,999))</f>
        <v>999</v>
      </c>
      <c r="S27" s="108" t="str">
        <f t="shared" si="0"/>
        <v/>
      </c>
    </row>
    <row r="28" spans="1:19" ht="54.75" customHeight="1">
      <c r="A28" s="1" t="s">
        <v>2146</v>
      </c>
      <c r="B28" s="1" t="s">
        <v>3015</v>
      </c>
      <c r="C28" s="1">
        <v>210</v>
      </c>
      <c r="D28" s="1">
        <v>4</v>
      </c>
      <c r="E28" s="1">
        <v>1.1559999999999999</v>
      </c>
      <c r="F28" s="1" t="s">
        <v>3016</v>
      </c>
      <c r="G28" s="1" t="s">
        <v>3041</v>
      </c>
      <c r="H28" s="1" t="s">
        <v>2195</v>
      </c>
      <c r="I28" s="1" t="s">
        <v>2195</v>
      </c>
      <c r="J28" s="1" t="s">
        <v>2208</v>
      </c>
      <c r="K28" s="108" t="str">
        <f>IF(AND($A28=Dashboard!$B$8,$C28='Calc Engine'!$B$5),$E28,"")</f>
        <v/>
      </c>
      <c r="L28" s="108">
        <f>IF(NOT(ISNUMBER(Dashboard!$B$11)),999,IF(OR(Dashboard!$B$11&lt;=0,$E28=""),999,ABS($E28-Dashboard!$B$11)))</f>
        <v>0.19400000000000017</v>
      </c>
      <c r="M28" s="108" t="str">
        <f>IF(NOT(ISNUMBER(Dashboard!$B$11)),"",IF(AND(Dashboard!$B$11&gt;0,$L28=MIN($L$2:$L$300)),"Closest overall reference",""))</f>
        <v/>
      </c>
      <c r="N28" s="108">
        <f>IF(NOT(ISNUMBER(Dashboard!$B$11)),999,IF(AND(Dashboard!$B$11&gt;0,$A28=Dashboard!$B$8,$E28&lt;&gt;""),ABS($E28-Dashboard!$B$11),999))</f>
        <v>999</v>
      </c>
      <c r="O28" s="108" t="str">
        <f>IF(NOT(ISNUMBER(Dashboard!$B$11)),"",IF(AND(Dashboard!$B$11&gt;0,$N28=MIN($N$2:$N$300)),"Closest same-material reference",""))</f>
        <v/>
      </c>
      <c r="P28" s="108" t="str">
        <f>IF(AND($A28=Dashboard!$B$8,$C28='Calc Engine'!$B$5,$E28&lt;&gt;""),$E28,"")</f>
        <v/>
      </c>
      <c r="Q28" s="108">
        <f>IF(NOT(ISNUMBER(Dashboard!$B$11)),-999,IF(AND($P28&lt;&gt;"",Dashboard!$B$11&gt;0,$P28&lt;=Dashboard!$B$11),$P28,-999))</f>
        <v>-999</v>
      </c>
      <c r="R28" s="108">
        <f>IF(NOT(ISNUMBER(Dashboard!$B$11)),999,IF(AND($P28&lt;&gt;"",Dashboard!$B$11&gt;0,$P28&gt;=Dashboard!$B$11),$P28,999))</f>
        <v>999</v>
      </c>
      <c r="S28" s="108" t="str">
        <f t="shared" si="0"/>
        <v/>
      </c>
    </row>
    <row r="29" spans="1:19" ht="27.4" customHeight="1">
      <c r="A29" s="1" t="s">
        <v>2146</v>
      </c>
      <c r="B29" s="1" t="s">
        <v>2181</v>
      </c>
      <c r="C29" s="1">
        <v>240</v>
      </c>
      <c r="D29" s="1">
        <v>4</v>
      </c>
      <c r="E29" s="1">
        <v>1.1339999999999999</v>
      </c>
      <c r="F29" s="1" t="s">
        <v>3010</v>
      </c>
      <c r="G29" s="1" t="s">
        <v>3042</v>
      </c>
      <c r="H29" s="1" t="s">
        <v>2195</v>
      </c>
      <c r="I29" s="1" t="s">
        <v>2195</v>
      </c>
      <c r="J29" s="1" t="s">
        <v>2208</v>
      </c>
      <c r="K29" s="108" t="str">
        <f>IF(AND($A29=Dashboard!$B$8,$C29='Calc Engine'!$B$5),$E29,"")</f>
        <v/>
      </c>
      <c r="L29" s="108">
        <f>IF(NOT(ISNUMBER(Dashboard!$B$11)),999,IF(OR(Dashboard!$B$11&lt;=0,$E29=""),999,ABS($E29-Dashboard!$B$11)))</f>
        <v>0.21600000000000019</v>
      </c>
      <c r="M29" s="108" t="str">
        <f>IF(NOT(ISNUMBER(Dashboard!$B$11)),"",IF(AND(Dashboard!$B$11&gt;0,$L29=MIN($L$2:$L$300)),"Closest overall reference",""))</f>
        <v/>
      </c>
      <c r="N29" s="108">
        <f>IF(NOT(ISNUMBER(Dashboard!$B$11)),999,IF(AND(Dashboard!$B$11&gt;0,$A29=Dashboard!$B$8,$E29&lt;&gt;""),ABS($E29-Dashboard!$B$11),999))</f>
        <v>999</v>
      </c>
      <c r="O29" s="108" t="str">
        <f>IF(NOT(ISNUMBER(Dashboard!$B$11)),"",IF(AND(Dashboard!$B$11&gt;0,$N29=MIN($N$2:$N$300)),"Closest same-material reference",""))</f>
        <v/>
      </c>
      <c r="P29" s="108" t="str">
        <f>IF(AND($A29=Dashboard!$B$8,$C29='Calc Engine'!$B$5,$E29&lt;&gt;""),$E29,"")</f>
        <v/>
      </c>
      <c r="Q29" s="108">
        <f>IF(NOT(ISNUMBER(Dashboard!$B$11)),-999,IF(AND($P29&lt;&gt;"",Dashboard!$B$11&gt;0,$P29&lt;=Dashboard!$B$11),$P29,-999))</f>
        <v>-999</v>
      </c>
      <c r="R29" s="108">
        <f>IF(NOT(ISNUMBER(Dashboard!$B$11)),999,IF(AND($P29&lt;&gt;"",Dashboard!$B$11&gt;0,$P29&gt;=Dashboard!$B$11),$P29,999))</f>
        <v>999</v>
      </c>
      <c r="S29" s="108" t="str">
        <f t="shared" si="0"/>
        <v/>
      </c>
    </row>
    <row r="30" spans="1:19" ht="41.1" customHeight="1">
      <c r="A30" s="1" t="s">
        <v>2146</v>
      </c>
      <c r="B30" s="1" t="s">
        <v>3012</v>
      </c>
      <c r="C30" s="1">
        <v>240</v>
      </c>
      <c r="D30" s="1">
        <v>4</v>
      </c>
      <c r="E30" s="1">
        <v>1.1339999999999999</v>
      </c>
      <c r="F30" s="1" t="s">
        <v>3013</v>
      </c>
      <c r="G30" s="1" t="s">
        <v>3043</v>
      </c>
      <c r="H30" s="1" t="s">
        <v>2195</v>
      </c>
      <c r="I30" s="1" t="s">
        <v>2195</v>
      </c>
      <c r="J30" s="1" t="s">
        <v>2208</v>
      </c>
      <c r="K30" s="108" t="str">
        <f>IF(AND($A30=Dashboard!$B$8,$C30='Calc Engine'!$B$5),$E30,"")</f>
        <v/>
      </c>
      <c r="L30" s="108">
        <f>IF(NOT(ISNUMBER(Dashboard!$B$11)),999,IF(OR(Dashboard!$B$11&lt;=0,$E30=""),999,ABS($E30-Dashboard!$B$11)))</f>
        <v>0.21600000000000019</v>
      </c>
      <c r="M30" s="108" t="str">
        <f>IF(NOT(ISNUMBER(Dashboard!$B$11)),"",IF(AND(Dashboard!$B$11&gt;0,$L30=MIN($L$2:$L$300)),"Closest overall reference",""))</f>
        <v/>
      </c>
      <c r="N30" s="108">
        <f>IF(NOT(ISNUMBER(Dashboard!$B$11)),999,IF(AND(Dashboard!$B$11&gt;0,$A30=Dashboard!$B$8,$E30&lt;&gt;""),ABS($E30-Dashboard!$B$11),999))</f>
        <v>999</v>
      </c>
      <c r="O30" s="108" t="str">
        <f>IF(NOT(ISNUMBER(Dashboard!$B$11)),"",IF(AND(Dashboard!$B$11&gt;0,$N30=MIN($N$2:$N$300)),"Closest same-material reference",""))</f>
        <v/>
      </c>
      <c r="P30" s="108" t="str">
        <f>IF(AND($A30=Dashboard!$B$8,$C30='Calc Engine'!$B$5,$E30&lt;&gt;""),$E30,"")</f>
        <v/>
      </c>
      <c r="Q30" s="108">
        <f>IF(NOT(ISNUMBER(Dashboard!$B$11)),-999,IF(AND($P30&lt;&gt;"",Dashboard!$B$11&gt;0,$P30&lt;=Dashboard!$B$11),$P30,-999))</f>
        <v>-999</v>
      </c>
      <c r="R30" s="108">
        <f>IF(NOT(ISNUMBER(Dashboard!$B$11)),999,IF(AND($P30&lt;&gt;"",Dashboard!$B$11&gt;0,$P30&gt;=Dashboard!$B$11),$P30,999))</f>
        <v>999</v>
      </c>
      <c r="S30" s="108" t="str">
        <f t="shared" si="0"/>
        <v/>
      </c>
    </row>
    <row r="31" spans="1:19" ht="54.75" customHeight="1">
      <c r="A31" s="1" t="s">
        <v>2146</v>
      </c>
      <c r="B31" s="1" t="s">
        <v>3015</v>
      </c>
      <c r="C31" s="1">
        <v>240</v>
      </c>
      <c r="D31" s="1">
        <v>4</v>
      </c>
      <c r="E31" s="1">
        <v>1.1339999999999999</v>
      </c>
      <c r="F31" s="1" t="s">
        <v>3016</v>
      </c>
      <c r="G31" s="1" t="s">
        <v>3044</v>
      </c>
      <c r="H31" s="1" t="s">
        <v>2195</v>
      </c>
      <c r="I31" s="1" t="s">
        <v>2195</v>
      </c>
      <c r="J31" s="1" t="s">
        <v>2208</v>
      </c>
      <c r="K31" s="108" t="str">
        <f>IF(AND($A31=Dashboard!$B$8,$C31='Calc Engine'!$B$5),$E31,"")</f>
        <v/>
      </c>
      <c r="L31" s="108">
        <f>IF(NOT(ISNUMBER(Dashboard!$B$11)),999,IF(OR(Dashboard!$B$11&lt;=0,$E31=""),999,ABS($E31-Dashboard!$B$11)))</f>
        <v>0.21600000000000019</v>
      </c>
      <c r="M31" s="108" t="str">
        <f>IF(NOT(ISNUMBER(Dashboard!$B$11)),"",IF(AND(Dashboard!$B$11&gt;0,$L31=MIN($L$2:$L$300)),"Closest overall reference",""))</f>
        <v/>
      </c>
      <c r="N31" s="108">
        <f>IF(NOT(ISNUMBER(Dashboard!$B$11)),999,IF(AND(Dashboard!$B$11&gt;0,$A31=Dashboard!$B$8,$E31&lt;&gt;""),ABS($E31-Dashboard!$B$11),999))</f>
        <v>999</v>
      </c>
      <c r="O31" s="108" t="str">
        <f>IF(NOT(ISNUMBER(Dashboard!$B$11)),"",IF(AND(Dashboard!$B$11&gt;0,$N31=MIN($N$2:$N$300)),"Closest same-material reference",""))</f>
        <v/>
      </c>
      <c r="P31" s="108" t="str">
        <f>IF(AND($A31=Dashboard!$B$8,$C31='Calc Engine'!$B$5,$E31&lt;&gt;""),$E31,"")</f>
        <v/>
      </c>
      <c r="Q31" s="108">
        <f>IF(NOT(ISNUMBER(Dashboard!$B$11)),-999,IF(AND($P31&lt;&gt;"",Dashboard!$B$11&gt;0,$P31&lt;=Dashboard!$B$11),$P31,-999))</f>
        <v>-999</v>
      </c>
      <c r="R31" s="108">
        <f>IF(NOT(ISNUMBER(Dashboard!$B$11)),999,IF(AND($P31&lt;&gt;"",Dashboard!$B$11&gt;0,$P31&gt;=Dashboard!$B$11),$P31,999))</f>
        <v>999</v>
      </c>
      <c r="S31" s="108" t="str">
        <f t="shared" si="0"/>
        <v/>
      </c>
    </row>
    <row r="32" spans="1:19" ht="27.4" customHeight="1">
      <c r="A32" s="1" t="s">
        <v>2146</v>
      </c>
      <c r="B32" s="1" t="s">
        <v>2181</v>
      </c>
      <c r="C32" s="1">
        <v>260</v>
      </c>
      <c r="D32" s="1">
        <v>4</v>
      </c>
      <c r="E32" s="1">
        <v>1.1100000000000001</v>
      </c>
      <c r="F32" s="1" t="s">
        <v>3010</v>
      </c>
      <c r="G32" s="1" t="s">
        <v>3045</v>
      </c>
      <c r="H32" s="1" t="s">
        <v>2195</v>
      </c>
      <c r="I32" s="1" t="s">
        <v>2195</v>
      </c>
      <c r="J32" s="1" t="s">
        <v>2208</v>
      </c>
      <c r="K32" s="108" t="str">
        <f>IF(AND($A32=Dashboard!$B$8,$C32='Calc Engine'!$B$5),$E32,"")</f>
        <v/>
      </c>
      <c r="L32" s="108">
        <f>IF(NOT(ISNUMBER(Dashboard!$B$11)),999,IF(OR(Dashboard!$B$11&lt;=0,$E32=""),999,ABS($E32-Dashboard!$B$11)))</f>
        <v>0.24</v>
      </c>
      <c r="M32" s="108" t="str">
        <f>IF(NOT(ISNUMBER(Dashboard!$B$11)),"",IF(AND(Dashboard!$B$11&gt;0,$L32=MIN($L$2:$L$300)),"Closest overall reference",""))</f>
        <v/>
      </c>
      <c r="N32" s="108">
        <f>IF(NOT(ISNUMBER(Dashboard!$B$11)),999,IF(AND(Dashboard!$B$11&gt;0,$A32=Dashboard!$B$8,$E32&lt;&gt;""),ABS($E32-Dashboard!$B$11),999))</f>
        <v>999</v>
      </c>
      <c r="O32" s="108" t="str">
        <f>IF(NOT(ISNUMBER(Dashboard!$B$11)),"",IF(AND(Dashboard!$B$11&gt;0,$N32=MIN($N$2:$N$300)),"Closest same-material reference",""))</f>
        <v/>
      </c>
      <c r="P32" s="108" t="str">
        <f>IF(AND($A32=Dashboard!$B$8,$C32='Calc Engine'!$B$5,$E32&lt;&gt;""),$E32,"")</f>
        <v/>
      </c>
      <c r="Q32" s="108">
        <f>IF(NOT(ISNUMBER(Dashboard!$B$11)),-999,IF(AND($P32&lt;&gt;"",Dashboard!$B$11&gt;0,$P32&lt;=Dashboard!$B$11),$P32,-999))</f>
        <v>-999</v>
      </c>
      <c r="R32" s="108">
        <f>IF(NOT(ISNUMBER(Dashboard!$B$11)),999,IF(AND($P32&lt;&gt;"",Dashboard!$B$11&gt;0,$P32&gt;=Dashboard!$B$11),$P32,999))</f>
        <v>999</v>
      </c>
      <c r="S32" s="108" t="str">
        <f t="shared" si="0"/>
        <v/>
      </c>
    </row>
    <row r="33" spans="1:19" ht="41.1" customHeight="1">
      <c r="A33" s="1" t="s">
        <v>2146</v>
      </c>
      <c r="B33" s="1" t="s">
        <v>3012</v>
      </c>
      <c r="C33" s="1">
        <v>260</v>
      </c>
      <c r="D33" s="1">
        <v>4</v>
      </c>
      <c r="E33" s="1">
        <v>1.1100000000000001</v>
      </c>
      <c r="F33" s="1" t="s">
        <v>3013</v>
      </c>
      <c r="G33" s="1" t="s">
        <v>3046</v>
      </c>
      <c r="H33" s="1" t="s">
        <v>2195</v>
      </c>
      <c r="I33" s="1" t="s">
        <v>2195</v>
      </c>
      <c r="J33" s="1" t="s">
        <v>2208</v>
      </c>
      <c r="K33" s="108" t="str">
        <f>IF(AND($A33=Dashboard!$B$8,$C33='Calc Engine'!$B$5),$E33,"")</f>
        <v/>
      </c>
      <c r="L33" s="108">
        <f>IF(NOT(ISNUMBER(Dashboard!$B$11)),999,IF(OR(Dashboard!$B$11&lt;=0,$E33=""),999,ABS($E33-Dashboard!$B$11)))</f>
        <v>0.24</v>
      </c>
      <c r="M33" s="108" t="str">
        <f>IF(NOT(ISNUMBER(Dashboard!$B$11)),"",IF(AND(Dashboard!$B$11&gt;0,$L33=MIN($L$2:$L$300)),"Closest overall reference",""))</f>
        <v/>
      </c>
      <c r="N33" s="108">
        <f>IF(NOT(ISNUMBER(Dashboard!$B$11)),999,IF(AND(Dashboard!$B$11&gt;0,$A33=Dashboard!$B$8,$E33&lt;&gt;""),ABS($E33-Dashboard!$B$11),999))</f>
        <v>999</v>
      </c>
      <c r="O33" s="108" t="str">
        <f>IF(NOT(ISNUMBER(Dashboard!$B$11)),"",IF(AND(Dashboard!$B$11&gt;0,$N33=MIN($N$2:$N$300)),"Closest same-material reference",""))</f>
        <v/>
      </c>
      <c r="P33" s="108" t="str">
        <f>IF(AND($A33=Dashboard!$B$8,$C33='Calc Engine'!$B$5,$E33&lt;&gt;""),$E33,"")</f>
        <v/>
      </c>
      <c r="Q33" s="108">
        <f>IF(NOT(ISNUMBER(Dashboard!$B$11)),-999,IF(AND($P33&lt;&gt;"",Dashboard!$B$11&gt;0,$P33&lt;=Dashboard!$B$11),$P33,-999))</f>
        <v>-999</v>
      </c>
      <c r="R33" s="108">
        <f>IF(NOT(ISNUMBER(Dashboard!$B$11)),999,IF(AND($P33&lt;&gt;"",Dashboard!$B$11&gt;0,$P33&gt;=Dashboard!$B$11),$P33,999))</f>
        <v>999</v>
      </c>
      <c r="S33" s="108" t="str">
        <f t="shared" si="0"/>
        <v/>
      </c>
    </row>
    <row r="34" spans="1:19" ht="54.75" customHeight="1">
      <c r="A34" s="1" t="s">
        <v>2146</v>
      </c>
      <c r="B34" s="1" t="s">
        <v>3015</v>
      </c>
      <c r="C34" s="1">
        <v>260</v>
      </c>
      <c r="D34" s="1">
        <v>4</v>
      </c>
      <c r="E34" s="1">
        <v>1.1100000000000001</v>
      </c>
      <c r="F34" s="1" t="s">
        <v>3016</v>
      </c>
      <c r="G34" s="1" t="s">
        <v>3047</v>
      </c>
      <c r="H34" s="1" t="s">
        <v>2195</v>
      </c>
      <c r="I34" s="1" t="s">
        <v>2195</v>
      </c>
      <c r="J34" s="1" t="s">
        <v>2208</v>
      </c>
      <c r="K34" s="108" t="str">
        <f>IF(AND($A34=Dashboard!$B$8,$C34='Calc Engine'!$B$5),$E34,"")</f>
        <v/>
      </c>
      <c r="L34" s="108">
        <f>IF(NOT(ISNUMBER(Dashboard!$B$11)),999,IF(OR(Dashboard!$B$11&lt;=0,$E34=""),999,ABS($E34-Dashboard!$B$11)))</f>
        <v>0.24</v>
      </c>
      <c r="M34" s="108" t="str">
        <f>IF(NOT(ISNUMBER(Dashboard!$B$11)),"",IF(AND(Dashboard!$B$11&gt;0,$L34=MIN($L$2:$L$300)),"Closest overall reference",""))</f>
        <v/>
      </c>
      <c r="N34" s="108">
        <f>IF(NOT(ISNUMBER(Dashboard!$B$11)),999,IF(AND(Dashboard!$B$11&gt;0,$A34=Dashboard!$B$8,$E34&lt;&gt;""),ABS($E34-Dashboard!$B$11),999))</f>
        <v>999</v>
      </c>
      <c r="O34" s="108" t="str">
        <f>IF(NOT(ISNUMBER(Dashboard!$B$11)),"",IF(AND(Dashboard!$B$11&gt;0,$N34=MIN($N$2:$N$300)),"Closest same-material reference",""))</f>
        <v/>
      </c>
      <c r="P34" s="108" t="str">
        <f>IF(AND($A34=Dashboard!$B$8,$C34='Calc Engine'!$B$5,$E34&lt;&gt;""),$E34,"")</f>
        <v/>
      </c>
      <c r="Q34" s="108">
        <f>IF(NOT(ISNUMBER(Dashboard!$B$11)),-999,IF(AND($P34&lt;&gt;"",Dashboard!$B$11&gt;0,$P34&lt;=Dashboard!$B$11),$P34,-999))</f>
        <v>-999</v>
      </c>
      <c r="R34" s="108">
        <f>IF(NOT(ISNUMBER(Dashboard!$B$11)),999,IF(AND($P34&lt;&gt;"",Dashboard!$B$11&gt;0,$P34&gt;=Dashboard!$B$11),$P34,999))</f>
        <v>999</v>
      </c>
      <c r="S34" s="108" t="str">
        <f t="shared" si="0"/>
        <v/>
      </c>
    </row>
    <row r="35" spans="1:19" ht="27.4" customHeight="1">
      <c r="A35" s="1" t="s">
        <v>2146</v>
      </c>
      <c r="B35" s="1" t="s">
        <v>2181</v>
      </c>
      <c r="C35" s="1">
        <v>320</v>
      </c>
      <c r="D35" s="1">
        <v>4</v>
      </c>
      <c r="E35" s="1">
        <v>1.07</v>
      </c>
      <c r="F35" s="1" t="s">
        <v>3010</v>
      </c>
      <c r="G35" s="1" t="s">
        <v>3048</v>
      </c>
      <c r="H35" s="1" t="s">
        <v>2195</v>
      </c>
      <c r="I35" s="1" t="s">
        <v>2195</v>
      </c>
      <c r="J35" s="1" t="s">
        <v>2208</v>
      </c>
      <c r="K35" s="108" t="str">
        <f>IF(AND($A35=Dashboard!$B$8,$C35='Calc Engine'!$B$5),$E35,"")</f>
        <v/>
      </c>
      <c r="L35" s="108">
        <f>IF(NOT(ISNUMBER(Dashboard!$B$11)),999,IF(OR(Dashboard!$B$11&lt;=0,$E35=""),999,ABS($E35-Dashboard!$B$11)))</f>
        <v>0.28000000000000003</v>
      </c>
      <c r="M35" s="108" t="str">
        <f>IF(NOT(ISNUMBER(Dashboard!$B$11)),"",IF(AND(Dashboard!$B$11&gt;0,$L35=MIN($L$2:$L$300)),"Closest overall reference",""))</f>
        <v/>
      </c>
      <c r="N35" s="108">
        <f>IF(NOT(ISNUMBER(Dashboard!$B$11)),999,IF(AND(Dashboard!$B$11&gt;0,$A35=Dashboard!$B$8,$E35&lt;&gt;""),ABS($E35-Dashboard!$B$11),999))</f>
        <v>999</v>
      </c>
      <c r="O35" s="108" t="str">
        <f>IF(NOT(ISNUMBER(Dashboard!$B$11)),"",IF(AND(Dashboard!$B$11&gt;0,$N35=MIN($N$2:$N$300)),"Closest same-material reference",""))</f>
        <v/>
      </c>
      <c r="P35" s="108" t="str">
        <f>IF(AND($A35=Dashboard!$B$8,$C35='Calc Engine'!$B$5,$E35&lt;&gt;""),$E35,"")</f>
        <v/>
      </c>
      <c r="Q35" s="108">
        <f>IF(NOT(ISNUMBER(Dashboard!$B$11)),-999,IF(AND($P35&lt;&gt;"",Dashboard!$B$11&gt;0,$P35&lt;=Dashboard!$B$11),$P35,-999))</f>
        <v>-999</v>
      </c>
      <c r="R35" s="108">
        <f>IF(NOT(ISNUMBER(Dashboard!$B$11)),999,IF(AND($P35&lt;&gt;"",Dashboard!$B$11&gt;0,$P35&gt;=Dashboard!$B$11),$P35,999))</f>
        <v>999</v>
      </c>
      <c r="S35" s="108" t="str">
        <f t="shared" si="0"/>
        <v/>
      </c>
    </row>
    <row r="36" spans="1:19" ht="41.1" customHeight="1">
      <c r="A36" s="1" t="s">
        <v>2146</v>
      </c>
      <c r="B36" s="1" t="s">
        <v>3012</v>
      </c>
      <c r="C36" s="1">
        <v>320</v>
      </c>
      <c r="D36" s="1">
        <v>4</v>
      </c>
      <c r="E36" s="1">
        <v>1.07</v>
      </c>
      <c r="F36" s="1" t="s">
        <v>3013</v>
      </c>
      <c r="G36" s="1" t="s">
        <v>3049</v>
      </c>
      <c r="H36" s="1" t="s">
        <v>2195</v>
      </c>
      <c r="I36" s="1" t="s">
        <v>2195</v>
      </c>
      <c r="J36" s="1" t="s">
        <v>2208</v>
      </c>
      <c r="K36" s="108" t="str">
        <f>IF(AND($A36=Dashboard!$B$8,$C36='Calc Engine'!$B$5),$E36,"")</f>
        <v/>
      </c>
      <c r="L36" s="108">
        <f>IF(NOT(ISNUMBER(Dashboard!$B$11)),999,IF(OR(Dashboard!$B$11&lt;=0,$E36=""),999,ABS($E36-Dashboard!$B$11)))</f>
        <v>0.28000000000000003</v>
      </c>
      <c r="M36" s="108" t="str">
        <f>IF(NOT(ISNUMBER(Dashboard!$B$11)),"",IF(AND(Dashboard!$B$11&gt;0,$L36=MIN($L$2:$L$300)),"Closest overall reference",""))</f>
        <v/>
      </c>
      <c r="N36" s="108">
        <f>IF(NOT(ISNUMBER(Dashboard!$B$11)),999,IF(AND(Dashboard!$B$11&gt;0,$A36=Dashboard!$B$8,$E36&lt;&gt;""),ABS($E36-Dashboard!$B$11),999))</f>
        <v>999</v>
      </c>
      <c r="O36" s="108" t="str">
        <f>IF(NOT(ISNUMBER(Dashboard!$B$11)),"",IF(AND(Dashboard!$B$11&gt;0,$N36=MIN($N$2:$N$300)),"Closest same-material reference",""))</f>
        <v/>
      </c>
      <c r="P36" s="108" t="str">
        <f>IF(AND($A36=Dashboard!$B$8,$C36='Calc Engine'!$B$5,$E36&lt;&gt;""),$E36,"")</f>
        <v/>
      </c>
      <c r="Q36" s="108">
        <f>IF(NOT(ISNUMBER(Dashboard!$B$11)),-999,IF(AND($P36&lt;&gt;"",Dashboard!$B$11&gt;0,$P36&lt;=Dashboard!$B$11),$P36,-999))</f>
        <v>-999</v>
      </c>
      <c r="R36" s="108">
        <f>IF(NOT(ISNUMBER(Dashboard!$B$11)),999,IF(AND($P36&lt;&gt;"",Dashboard!$B$11&gt;0,$P36&gt;=Dashboard!$B$11),$P36,999))</f>
        <v>999</v>
      </c>
      <c r="S36" s="108" t="str">
        <f t="shared" si="0"/>
        <v/>
      </c>
    </row>
    <row r="37" spans="1:19" ht="54.75" customHeight="1">
      <c r="A37" s="1" t="s">
        <v>2146</v>
      </c>
      <c r="B37" s="1" t="s">
        <v>3015</v>
      </c>
      <c r="C37" s="1">
        <v>320</v>
      </c>
      <c r="D37" s="1">
        <v>4</v>
      </c>
      <c r="E37" s="1">
        <v>1.07</v>
      </c>
      <c r="F37" s="1" t="s">
        <v>3016</v>
      </c>
      <c r="G37" s="1" t="s">
        <v>3050</v>
      </c>
      <c r="H37" s="1" t="s">
        <v>2195</v>
      </c>
      <c r="I37" s="1" t="s">
        <v>2195</v>
      </c>
      <c r="J37" s="1" t="s">
        <v>2208</v>
      </c>
      <c r="K37" s="108" t="str">
        <f>IF(AND($A37=Dashboard!$B$8,$C37='Calc Engine'!$B$5),$E37,"")</f>
        <v/>
      </c>
      <c r="L37" s="108">
        <f>IF(NOT(ISNUMBER(Dashboard!$B$11)),999,IF(OR(Dashboard!$B$11&lt;=0,$E37=""),999,ABS($E37-Dashboard!$B$11)))</f>
        <v>0.28000000000000003</v>
      </c>
      <c r="M37" s="108" t="str">
        <f>IF(NOT(ISNUMBER(Dashboard!$B$11)),"",IF(AND(Dashboard!$B$11&gt;0,$L37=MIN($L$2:$L$300)),"Closest overall reference",""))</f>
        <v/>
      </c>
      <c r="N37" s="108">
        <f>IF(NOT(ISNUMBER(Dashboard!$B$11)),999,IF(AND(Dashboard!$B$11&gt;0,$A37=Dashboard!$B$8,$E37&lt;&gt;""),ABS($E37-Dashboard!$B$11),999))</f>
        <v>999</v>
      </c>
      <c r="O37" s="108" t="str">
        <f>IF(NOT(ISNUMBER(Dashboard!$B$11)),"",IF(AND(Dashboard!$B$11&gt;0,$N37=MIN($N$2:$N$300)),"Closest same-material reference",""))</f>
        <v/>
      </c>
      <c r="P37" s="108" t="str">
        <f>IF(AND($A37=Dashboard!$B$8,$C37='Calc Engine'!$B$5,$E37&lt;&gt;""),$E37,"")</f>
        <v/>
      </c>
      <c r="Q37" s="108">
        <f>IF(NOT(ISNUMBER(Dashboard!$B$11)),-999,IF(AND($P37&lt;&gt;"",Dashboard!$B$11&gt;0,$P37&lt;=Dashboard!$B$11),$P37,-999))</f>
        <v>-999</v>
      </c>
      <c r="R37" s="108">
        <f>IF(NOT(ISNUMBER(Dashboard!$B$11)),999,IF(AND($P37&lt;&gt;"",Dashboard!$B$11&gt;0,$P37&gt;=Dashboard!$B$11),$P37,999))</f>
        <v>999</v>
      </c>
      <c r="S37" s="108" t="str">
        <f t="shared" si="0"/>
        <v/>
      </c>
    </row>
    <row r="38" spans="1:19" ht="27.4" customHeight="1">
      <c r="A38" s="1" t="s">
        <v>2146</v>
      </c>
      <c r="B38" s="1" t="s">
        <v>2181</v>
      </c>
      <c r="C38" s="1">
        <v>350</v>
      </c>
      <c r="D38" s="1">
        <v>4.5</v>
      </c>
      <c r="E38" s="1">
        <v>1.0760000000000001</v>
      </c>
      <c r="F38" s="1" t="s">
        <v>3010</v>
      </c>
      <c r="G38" s="1" t="s">
        <v>3051</v>
      </c>
      <c r="H38" s="1" t="s">
        <v>2195</v>
      </c>
      <c r="I38" s="1" t="s">
        <v>2195</v>
      </c>
      <c r="J38" s="1" t="s">
        <v>2208</v>
      </c>
      <c r="K38" s="108" t="str">
        <f>IF(AND($A38=Dashboard!$B$8,$C38='Calc Engine'!$B$5),$E38,"")</f>
        <v/>
      </c>
      <c r="L38" s="108">
        <f>IF(NOT(ISNUMBER(Dashboard!$B$11)),999,IF(OR(Dashboard!$B$11&lt;=0,$E38=""),999,ABS($E38-Dashboard!$B$11)))</f>
        <v>0.27400000000000002</v>
      </c>
      <c r="M38" s="108" t="str">
        <f>IF(NOT(ISNUMBER(Dashboard!$B$11)),"",IF(AND(Dashboard!$B$11&gt;0,$L38=MIN($L$2:$L$300)),"Closest overall reference",""))</f>
        <v/>
      </c>
      <c r="N38" s="108">
        <f>IF(NOT(ISNUMBER(Dashboard!$B$11)),999,IF(AND(Dashboard!$B$11&gt;0,$A38=Dashboard!$B$8,$E38&lt;&gt;""),ABS($E38-Dashboard!$B$11),999))</f>
        <v>999</v>
      </c>
      <c r="O38" s="108" t="str">
        <f>IF(NOT(ISNUMBER(Dashboard!$B$11)),"",IF(AND(Dashboard!$B$11&gt;0,$N38=MIN($N$2:$N$300)),"Closest same-material reference",""))</f>
        <v/>
      </c>
      <c r="P38" s="108" t="str">
        <f>IF(AND($A38=Dashboard!$B$8,$C38='Calc Engine'!$B$5,$E38&lt;&gt;""),$E38,"")</f>
        <v/>
      </c>
      <c r="Q38" s="108">
        <f>IF(NOT(ISNUMBER(Dashboard!$B$11)),-999,IF(AND($P38&lt;&gt;"",Dashboard!$B$11&gt;0,$P38&lt;=Dashboard!$B$11),$P38,-999))</f>
        <v>-999</v>
      </c>
      <c r="R38" s="108">
        <f>IF(NOT(ISNUMBER(Dashboard!$B$11)),999,IF(AND($P38&lt;&gt;"",Dashboard!$B$11&gt;0,$P38&gt;=Dashboard!$B$11),$P38,999))</f>
        <v>999</v>
      </c>
      <c r="S38" s="108" t="str">
        <f t="shared" si="0"/>
        <v/>
      </c>
    </row>
    <row r="39" spans="1:19" ht="41.1" customHeight="1">
      <c r="A39" s="1" t="s">
        <v>2146</v>
      </c>
      <c r="B39" s="1" t="s">
        <v>3012</v>
      </c>
      <c r="C39" s="1">
        <v>350</v>
      </c>
      <c r="D39" s="1">
        <v>4.5</v>
      </c>
      <c r="E39" s="1">
        <v>1.0760000000000001</v>
      </c>
      <c r="F39" s="1" t="s">
        <v>3013</v>
      </c>
      <c r="G39" s="1" t="s">
        <v>3052</v>
      </c>
      <c r="H39" s="1" t="s">
        <v>2195</v>
      </c>
      <c r="I39" s="1" t="s">
        <v>2195</v>
      </c>
      <c r="J39" s="1" t="s">
        <v>2208</v>
      </c>
      <c r="K39" s="108" t="str">
        <f>IF(AND($A39=Dashboard!$B$8,$C39='Calc Engine'!$B$5),$E39,"")</f>
        <v/>
      </c>
      <c r="L39" s="108">
        <f>IF(NOT(ISNUMBER(Dashboard!$B$11)),999,IF(OR(Dashboard!$B$11&lt;=0,$E39=""),999,ABS($E39-Dashboard!$B$11)))</f>
        <v>0.27400000000000002</v>
      </c>
      <c r="M39" s="108" t="str">
        <f>IF(NOT(ISNUMBER(Dashboard!$B$11)),"",IF(AND(Dashboard!$B$11&gt;0,$L39=MIN($L$2:$L$300)),"Closest overall reference",""))</f>
        <v/>
      </c>
      <c r="N39" s="108">
        <f>IF(NOT(ISNUMBER(Dashboard!$B$11)),999,IF(AND(Dashboard!$B$11&gt;0,$A39=Dashboard!$B$8,$E39&lt;&gt;""),ABS($E39-Dashboard!$B$11),999))</f>
        <v>999</v>
      </c>
      <c r="O39" s="108" t="str">
        <f>IF(NOT(ISNUMBER(Dashboard!$B$11)),"",IF(AND(Dashboard!$B$11&gt;0,$N39=MIN($N$2:$N$300)),"Closest same-material reference",""))</f>
        <v/>
      </c>
      <c r="P39" s="108" t="str">
        <f>IF(AND($A39=Dashboard!$B$8,$C39='Calc Engine'!$B$5,$E39&lt;&gt;""),$E39,"")</f>
        <v/>
      </c>
      <c r="Q39" s="108">
        <f>IF(NOT(ISNUMBER(Dashboard!$B$11)),-999,IF(AND($P39&lt;&gt;"",Dashboard!$B$11&gt;0,$P39&lt;=Dashboard!$B$11),$P39,-999))</f>
        <v>-999</v>
      </c>
      <c r="R39" s="108">
        <f>IF(NOT(ISNUMBER(Dashboard!$B$11)),999,IF(AND($P39&lt;&gt;"",Dashboard!$B$11&gt;0,$P39&gt;=Dashboard!$B$11),$P39,999))</f>
        <v>999</v>
      </c>
      <c r="S39" s="108" t="str">
        <f t="shared" si="0"/>
        <v/>
      </c>
    </row>
    <row r="40" spans="1:19" ht="54.75" customHeight="1">
      <c r="A40" s="1" t="s">
        <v>2146</v>
      </c>
      <c r="B40" s="1" t="s">
        <v>3015</v>
      </c>
      <c r="C40" s="1">
        <v>350</v>
      </c>
      <c r="D40" s="1">
        <v>4.5</v>
      </c>
      <c r="E40" s="1">
        <v>1.0760000000000001</v>
      </c>
      <c r="F40" s="1" t="s">
        <v>3016</v>
      </c>
      <c r="G40" s="1" t="s">
        <v>3053</v>
      </c>
      <c r="H40" s="1" t="s">
        <v>2195</v>
      </c>
      <c r="I40" s="1" t="s">
        <v>2195</v>
      </c>
      <c r="J40" s="1" t="s">
        <v>2208</v>
      </c>
      <c r="K40" s="108" t="str">
        <f>IF(AND($A40=Dashboard!$B$8,$C40='Calc Engine'!$B$5),$E40,"")</f>
        <v/>
      </c>
      <c r="L40" s="108">
        <f>IF(NOT(ISNUMBER(Dashboard!$B$11)),999,IF(OR(Dashboard!$B$11&lt;=0,$E40=""),999,ABS($E40-Dashboard!$B$11)))</f>
        <v>0.27400000000000002</v>
      </c>
      <c r="M40" s="108" t="str">
        <f>IF(NOT(ISNUMBER(Dashboard!$B$11)),"",IF(AND(Dashboard!$B$11&gt;0,$L40=MIN($L$2:$L$300)),"Closest overall reference",""))</f>
        <v/>
      </c>
      <c r="N40" s="108">
        <f>IF(NOT(ISNUMBER(Dashboard!$B$11)),999,IF(AND(Dashboard!$B$11&gt;0,$A40=Dashboard!$B$8,$E40&lt;&gt;""),ABS($E40-Dashboard!$B$11),999))</f>
        <v>999</v>
      </c>
      <c r="O40" s="108" t="str">
        <f>IF(NOT(ISNUMBER(Dashboard!$B$11)),"",IF(AND(Dashboard!$B$11&gt;0,$N40=MIN($N$2:$N$300)),"Closest same-material reference",""))</f>
        <v/>
      </c>
      <c r="P40" s="108" t="str">
        <f>IF(AND($A40=Dashboard!$B$8,$C40='Calc Engine'!$B$5,$E40&lt;&gt;""),$E40,"")</f>
        <v/>
      </c>
      <c r="Q40" s="108">
        <f>IF(NOT(ISNUMBER(Dashboard!$B$11)),-999,IF(AND($P40&lt;&gt;"",Dashboard!$B$11&gt;0,$P40&lt;=Dashboard!$B$11),$P40,-999))</f>
        <v>-999</v>
      </c>
      <c r="R40" s="108">
        <f>IF(NOT(ISNUMBER(Dashboard!$B$11)),999,IF(AND($P40&lt;&gt;"",Dashboard!$B$11&gt;0,$P40&gt;=Dashboard!$B$11),$P40,999))</f>
        <v>999</v>
      </c>
      <c r="S40" s="108" t="str">
        <f t="shared" si="0"/>
        <v/>
      </c>
    </row>
    <row r="41" spans="1:19" ht="27.4" customHeight="1">
      <c r="A41" s="1" t="s">
        <v>2146</v>
      </c>
      <c r="B41" s="1" t="s">
        <v>2181</v>
      </c>
      <c r="C41" s="1">
        <v>400</v>
      </c>
      <c r="D41" s="1">
        <v>4.5</v>
      </c>
      <c r="E41" s="1">
        <v>1.044</v>
      </c>
      <c r="F41" s="1" t="s">
        <v>3010</v>
      </c>
      <c r="G41" s="1" t="s">
        <v>3054</v>
      </c>
      <c r="H41" s="1" t="s">
        <v>2195</v>
      </c>
      <c r="I41" s="1" t="s">
        <v>2195</v>
      </c>
      <c r="J41" s="1" t="s">
        <v>2208</v>
      </c>
      <c r="K41" s="108" t="str">
        <f>IF(AND($A41=Dashboard!$B$8,$C41='Calc Engine'!$B$5),$E41,"")</f>
        <v/>
      </c>
      <c r="L41" s="108">
        <f>IF(NOT(ISNUMBER(Dashboard!$B$11)),999,IF(OR(Dashboard!$B$11&lt;=0,$E41=""),999,ABS($E41-Dashboard!$B$11)))</f>
        <v>0.30600000000000005</v>
      </c>
      <c r="M41" s="108" t="str">
        <f>IF(NOT(ISNUMBER(Dashboard!$B$11)),"",IF(AND(Dashboard!$B$11&gt;0,$L41=MIN($L$2:$L$300)),"Closest overall reference",""))</f>
        <v/>
      </c>
      <c r="N41" s="108">
        <f>IF(NOT(ISNUMBER(Dashboard!$B$11)),999,IF(AND(Dashboard!$B$11&gt;0,$A41=Dashboard!$B$8,$E41&lt;&gt;""),ABS($E41-Dashboard!$B$11),999))</f>
        <v>999</v>
      </c>
      <c r="O41" s="108" t="str">
        <f>IF(NOT(ISNUMBER(Dashboard!$B$11)),"",IF(AND(Dashboard!$B$11&gt;0,$N41=MIN($N$2:$N$300)),"Closest same-material reference",""))</f>
        <v/>
      </c>
      <c r="P41" s="108" t="str">
        <f>IF(AND($A41=Dashboard!$B$8,$C41='Calc Engine'!$B$5,$E41&lt;&gt;""),$E41,"")</f>
        <v/>
      </c>
      <c r="Q41" s="108">
        <f>IF(NOT(ISNUMBER(Dashboard!$B$11)),-999,IF(AND($P41&lt;&gt;"",Dashboard!$B$11&gt;0,$P41&lt;=Dashboard!$B$11),$P41,-999))</f>
        <v>-999</v>
      </c>
      <c r="R41" s="108">
        <f>IF(NOT(ISNUMBER(Dashboard!$B$11)),999,IF(AND($P41&lt;&gt;"",Dashboard!$B$11&gt;0,$P41&gt;=Dashboard!$B$11),$P41,999))</f>
        <v>999</v>
      </c>
      <c r="S41" s="108" t="str">
        <f t="shared" si="0"/>
        <v/>
      </c>
    </row>
    <row r="42" spans="1:19" ht="41.1" customHeight="1">
      <c r="A42" s="1" t="s">
        <v>2146</v>
      </c>
      <c r="B42" s="1" t="s">
        <v>3012</v>
      </c>
      <c r="C42" s="1">
        <v>400</v>
      </c>
      <c r="D42" s="1">
        <v>4.5</v>
      </c>
      <c r="E42" s="1">
        <v>1.044</v>
      </c>
      <c r="F42" s="1" t="s">
        <v>3013</v>
      </c>
      <c r="G42" s="1" t="s">
        <v>3055</v>
      </c>
      <c r="H42" s="1" t="s">
        <v>2195</v>
      </c>
      <c r="I42" s="1" t="s">
        <v>2195</v>
      </c>
      <c r="J42" s="1" t="s">
        <v>2208</v>
      </c>
      <c r="K42" s="108" t="str">
        <f>IF(AND($A42=Dashboard!$B$8,$C42='Calc Engine'!$B$5),$E42,"")</f>
        <v/>
      </c>
      <c r="L42" s="108">
        <f>IF(NOT(ISNUMBER(Dashboard!$B$11)),999,IF(OR(Dashboard!$B$11&lt;=0,$E42=""),999,ABS($E42-Dashboard!$B$11)))</f>
        <v>0.30600000000000005</v>
      </c>
      <c r="M42" s="108" t="str">
        <f>IF(NOT(ISNUMBER(Dashboard!$B$11)),"",IF(AND(Dashboard!$B$11&gt;0,$L42=MIN($L$2:$L$300)),"Closest overall reference",""))</f>
        <v/>
      </c>
      <c r="N42" s="108">
        <f>IF(NOT(ISNUMBER(Dashboard!$B$11)),999,IF(AND(Dashboard!$B$11&gt;0,$A42=Dashboard!$B$8,$E42&lt;&gt;""),ABS($E42-Dashboard!$B$11),999))</f>
        <v>999</v>
      </c>
      <c r="O42" s="108" t="str">
        <f>IF(NOT(ISNUMBER(Dashboard!$B$11)),"",IF(AND(Dashboard!$B$11&gt;0,$N42=MIN($N$2:$N$300)),"Closest same-material reference",""))</f>
        <v/>
      </c>
      <c r="P42" s="108" t="str">
        <f>IF(AND($A42=Dashboard!$B$8,$C42='Calc Engine'!$B$5,$E42&lt;&gt;""),$E42,"")</f>
        <v/>
      </c>
      <c r="Q42" s="108">
        <f>IF(NOT(ISNUMBER(Dashboard!$B$11)),-999,IF(AND($P42&lt;&gt;"",Dashboard!$B$11&gt;0,$P42&lt;=Dashboard!$B$11),$P42,-999))</f>
        <v>-999</v>
      </c>
      <c r="R42" s="108">
        <f>IF(NOT(ISNUMBER(Dashboard!$B$11)),999,IF(AND($P42&lt;&gt;"",Dashboard!$B$11&gt;0,$P42&gt;=Dashboard!$B$11),$P42,999))</f>
        <v>999</v>
      </c>
      <c r="S42" s="108" t="str">
        <f t="shared" si="0"/>
        <v/>
      </c>
    </row>
    <row r="43" spans="1:19" ht="54.75" customHeight="1">
      <c r="A43" s="1" t="s">
        <v>2146</v>
      </c>
      <c r="B43" s="1" t="s">
        <v>3015</v>
      </c>
      <c r="C43" s="1">
        <v>400</v>
      </c>
      <c r="D43" s="1">
        <v>4.5</v>
      </c>
      <c r="E43" s="1">
        <v>1.044</v>
      </c>
      <c r="F43" s="1" t="s">
        <v>3016</v>
      </c>
      <c r="G43" s="1" t="s">
        <v>3056</v>
      </c>
      <c r="H43" s="1" t="s">
        <v>2195</v>
      </c>
      <c r="I43" s="1" t="s">
        <v>2195</v>
      </c>
      <c r="J43" s="1" t="s">
        <v>2208</v>
      </c>
      <c r="K43" s="108" t="str">
        <f>IF(AND($A43=Dashboard!$B$8,$C43='Calc Engine'!$B$5),$E43,"")</f>
        <v/>
      </c>
      <c r="L43" s="108">
        <f>IF(NOT(ISNUMBER(Dashboard!$B$11)),999,IF(OR(Dashboard!$B$11&lt;=0,$E43=""),999,ABS($E43-Dashboard!$B$11)))</f>
        <v>0.30600000000000005</v>
      </c>
      <c r="M43" s="108" t="str">
        <f>IF(NOT(ISNUMBER(Dashboard!$B$11)),"",IF(AND(Dashboard!$B$11&gt;0,$L43=MIN($L$2:$L$300)),"Closest overall reference",""))</f>
        <v/>
      </c>
      <c r="N43" s="108">
        <f>IF(NOT(ISNUMBER(Dashboard!$B$11)),999,IF(AND(Dashboard!$B$11&gt;0,$A43=Dashboard!$B$8,$E43&lt;&gt;""),ABS($E43-Dashboard!$B$11),999))</f>
        <v>999</v>
      </c>
      <c r="O43" s="108" t="str">
        <f>IF(NOT(ISNUMBER(Dashboard!$B$11)),"",IF(AND(Dashboard!$B$11&gt;0,$N43=MIN($N$2:$N$300)),"Closest same-material reference",""))</f>
        <v/>
      </c>
      <c r="P43" s="108" t="str">
        <f>IF(AND($A43=Dashboard!$B$8,$C43='Calc Engine'!$B$5,$E43&lt;&gt;""),$E43,"")</f>
        <v/>
      </c>
      <c r="Q43" s="108">
        <f>IF(NOT(ISNUMBER(Dashboard!$B$11)),-999,IF(AND($P43&lt;&gt;"",Dashboard!$B$11&gt;0,$P43&lt;=Dashboard!$B$11),$P43,-999))</f>
        <v>-999</v>
      </c>
      <c r="R43" s="108">
        <f>IF(NOT(ISNUMBER(Dashboard!$B$11)),999,IF(AND($P43&lt;&gt;"",Dashboard!$B$11&gt;0,$P43&gt;=Dashboard!$B$11),$P43,999))</f>
        <v>999</v>
      </c>
      <c r="S43" s="108" t="str">
        <f t="shared" si="0"/>
        <v/>
      </c>
    </row>
    <row r="44" spans="1:19" ht="27.4" customHeight="1">
      <c r="A44" s="1" t="s">
        <v>2146</v>
      </c>
      <c r="B44" s="1" t="s">
        <v>2181</v>
      </c>
      <c r="C44" s="1">
        <v>450</v>
      </c>
      <c r="D44" s="1">
        <v>5</v>
      </c>
      <c r="E44" s="1">
        <v>1.0409999999999999</v>
      </c>
      <c r="F44" s="1" t="s">
        <v>3010</v>
      </c>
      <c r="G44" s="1" t="s">
        <v>3057</v>
      </c>
      <c r="H44" s="1" t="s">
        <v>2195</v>
      </c>
      <c r="I44" s="1" t="s">
        <v>2195</v>
      </c>
      <c r="J44" s="1" t="s">
        <v>2208</v>
      </c>
      <c r="K44" s="108" t="str">
        <f>IF(AND($A44=Dashboard!$B$8,$C44='Calc Engine'!$B$5),$E44,"")</f>
        <v/>
      </c>
      <c r="L44" s="108">
        <f>IF(NOT(ISNUMBER(Dashboard!$B$11)),999,IF(OR(Dashboard!$B$11&lt;=0,$E44=""),999,ABS($E44-Dashboard!$B$11)))</f>
        <v>0.30900000000000016</v>
      </c>
      <c r="M44" s="108" t="str">
        <f>IF(NOT(ISNUMBER(Dashboard!$B$11)),"",IF(AND(Dashboard!$B$11&gt;0,$L44=MIN($L$2:$L$300)),"Closest overall reference",""))</f>
        <v/>
      </c>
      <c r="N44" s="108">
        <f>IF(NOT(ISNUMBER(Dashboard!$B$11)),999,IF(AND(Dashboard!$B$11&gt;0,$A44=Dashboard!$B$8,$E44&lt;&gt;""),ABS($E44-Dashboard!$B$11),999))</f>
        <v>999</v>
      </c>
      <c r="O44" s="108" t="str">
        <f>IF(NOT(ISNUMBER(Dashboard!$B$11)),"",IF(AND(Dashboard!$B$11&gt;0,$N44=MIN($N$2:$N$300)),"Closest same-material reference",""))</f>
        <v/>
      </c>
      <c r="P44" s="108" t="str">
        <f>IF(AND($A44=Dashboard!$B$8,$C44='Calc Engine'!$B$5,$E44&lt;&gt;""),$E44,"")</f>
        <v/>
      </c>
      <c r="Q44" s="108">
        <f>IF(NOT(ISNUMBER(Dashboard!$B$11)),-999,IF(AND($P44&lt;&gt;"",Dashboard!$B$11&gt;0,$P44&lt;=Dashboard!$B$11),$P44,-999))</f>
        <v>-999</v>
      </c>
      <c r="R44" s="108">
        <f>IF(NOT(ISNUMBER(Dashboard!$B$11)),999,IF(AND($P44&lt;&gt;"",Dashboard!$B$11&gt;0,$P44&gt;=Dashboard!$B$11),$P44,999))</f>
        <v>999</v>
      </c>
      <c r="S44" s="108" t="str">
        <f t="shared" si="0"/>
        <v/>
      </c>
    </row>
    <row r="45" spans="1:19" ht="41.1" customHeight="1">
      <c r="A45" s="1" t="s">
        <v>2146</v>
      </c>
      <c r="B45" s="1" t="s">
        <v>3012</v>
      </c>
      <c r="C45" s="1">
        <v>450</v>
      </c>
      <c r="D45" s="1">
        <v>5</v>
      </c>
      <c r="E45" s="1">
        <v>1.0409999999999999</v>
      </c>
      <c r="F45" s="1" t="s">
        <v>3013</v>
      </c>
      <c r="G45" s="1" t="s">
        <v>3058</v>
      </c>
      <c r="H45" s="1" t="s">
        <v>2195</v>
      </c>
      <c r="I45" s="1" t="s">
        <v>2195</v>
      </c>
      <c r="J45" s="1" t="s">
        <v>2208</v>
      </c>
      <c r="K45" s="108" t="str">
        <f>IF(AND($A45=Dashboard!$B$8,$C45='Calc Engine'!$B$5),$E45,"")</f>
        <v/>
      </c>
      <c r="L45" s="108">
        <f>IF(NOT(ISNUMBER(Dashboard!$B$11)),999,IF(OR(Dashboard!$B$11&lt;=0,$E45=""),999,ABS($E45-Dashboard!$B$11)))</f>
        <v>0.30900000000000016</v>
      </c>
      <c r="M45" s="108" t="str">
        <f>IF(NOT(ISNUMBER(Dashboard!$B$11)),"",IF(AND(Dashboard!$B$11&gt;0,$L45=MIN($L$2:$L$300)),"Closest overall reference",""))</f>
        <v/>
      </c>
      <c r="N45" s="108">
        <f>IF(NOT(ISNUMBER(Dashboard!$B$11)),999,IF(AND(Dashboard!$B$11&gt;0,$A45=Dashboard!$B$8,$E45&lt;&gt;""),ABS($E45-Dashboard!$B$11),999))</f>
        <v>999</v>
      </c>
      <c r="O45" s="108" t="str">
        <f>IF(NOT(ISNUMBER(Dashboard!$B$11)),"",IF(AND(Dashboard!$B$11&gt;0,$N45=MIN($N$2:$N$300)),"Closest same-material reference",""))</f>
        <v/>
      </c>
      <c r="P45" s="108" t="str">
        <f>IF(AND($A45=Dashboard!$B$8,$C45='Calc Engine'!$B$5,$E45&lt;&gt;""),$E45,"")</f>
        <v/>
      </c>
      <c r="Q45" s="108">
        <f>IF(NOT(ISNUMBER(Dashboard!$B$11)),-999,IF(AND($P45&lt;&gt;"",Dashboard!$B$11&gt;0,$P45&lt;=Dashboard!$B$11),$P45,-999))</f>
        <v>-999</v>
      </c>
      <c r="R45" s="108">
        <f>IF(NOT(ISNUMBER(Dashboard!$B$11)),999,IF(AND($P45&lt;&gt;"",Dashboard!$B$11&gt;0,$P45&gt;=Dashboard!$B$11),$P45,999))</f>
        <v>999</v>
      </c>
      <c r="S45" s="108" t="str">
        <f t="shared" si="0"/>
        <v/>
      </c>
    </row>
    <row r="46" spans="1:19" ht="54.75" customHeight="1">
      <c r="A46" s="1" t="s">
        <v>2146</v>
      </c>
      <c r="B46" s="1" t="s">
        <v>3015</v>
      </c>
      <c r="C46" s="1">
        <v>450</v>
      </c>
      <c r="D46" s="1">
        <v>5</v>
      </c>
      <c r="E46" s="1">
        <v>1.0409999999999999</v>
      </c>
      <c r="F46" s="1" t="s">
        <v>3016</v>
      </c>
      <c r="G46" s="1" t="s">
        <v>3059</v>
      </c>
      <c r="H46" s="1" t="s">
        <v>2195</v>
      </c>
      <c r="I46" s="1" t="s">
        <v>2195</v>
      </c>
      <c r="J46" s="1" t="s">
        <v>2208</v>
      </c>
      <c r="K46" s="108" t="str">
        <f>IF(AND($A46=Dashboard!$B$8,$C46='Calc Engine'!$B$5),$E46,"")</f>
        <v/>
      </c>
      <c r="L46" s="108">
        <f>IF(NOT(ISNUMBER(Dashboard!$B$11)),999,IF(OR(Dashboard!$B$11&lt;=0,$E46=""),999,ABS($E46-Dashboard!$B$11)))</f>
        <v>0.30900000000000016</v>
      </c>
      <c r="M46" s="108" t="str">
        <f>IF(NOT(ISNUMBER(Dashboard!$B$11)),"",IF(AND(Dashboard!$B$11&gt;0,$L46=MIN($L$2:$L$300)),"Closest overall reference",""))</f>
        <v/>
      </c>
      <c r="N46" s="108">
        <f>IF(NOT(ISNUMBER(Dashboard!$B$11)),999,IF(AND(Dashboard!$B$11&gt;0,$A46=Dashboard!$B$8,$E46&lt;&gt;""),ABS($E46-Dashboard!$B$11),999))</f>
        <v>999</v>
      </c>
      <c r="O46" s="108" t="str">
        <f>IF(NOT(ISNUMBER(Dashboard!$B$11)),"",IF(AND(Dashboard!$B$11&gt;0,$N46=MIN($N$2:$N$300)),"Closest same-material reference",""))</f>
        <v/>
      </c>
      <c r="P46" s="108" t="str">
        <f>IF(AND($A46=Dashboard!$B$8,$C46='Calc Engine'!$B$5,$E46&lt;&gt;""),$E46,"")</f>
        <v/>
      </c>
      <c r="Q46" s="108">
        <f>IF(NOT(ISNUMBER(Dashboard!$B$11)),-999,IF(AND($P46&lt;&gt;"",Dashboard!$B$11&gt;0,$P46&lt;=Dashboard!$B$11),$P46,-999))</f>
        <v>-999</v>
      </c>
      <c r="R46" s="108">
        <f>IF(NOT(ISNUMBER(Dashboard!$B$11)),999,IF(AND($P46&lt;&gt;"",Dashboard!$B$11&gt;0,$P46&gt;=Dashboard!$B$11),$P46,999))</f>
        <v>999</v>
      </c>
      <c r="S46" s="108" t="str">
        <f t="shared" si="0"/>
        <v/>
      </c>
    </row>
    <row r="47" spans="1:19" ht="27.4" customHeight="1">
      <c r="A47" s="1" t="s">
        <v>2146</v>
      </c>
      <c r="B47" s="1" t="s">
        <v>2181</v>
      </c>
      <c r="C47" s="1">
        <v>500</v>
      </c>
      <c r="D47" s="1">
        <v>5</v>
      </c>
      <c r="E47" s="1">
        <v>1.014</v>
      </c>
      <c r="F47" s="1" t="s">
        <v>3010</v>
      </c>
      <c r="G47" s="1" t="s">
        <v>3060</v>
      </c>
      <c r="H47" s="1" t="s">
        <v>2195</v>
      </c>
      <c r="I47" s="1" t="s">
        <v>2195</v>
      </c>
      <c r="J47" s="1" t="s">
        <v>2208</v>
      </c>
      <c r="K47" s="108" t="str">
        <f>IF(AND($A47=Dashboard!$B$8,$C47='Calc Engine'!$B$5),$E47,"")</f>
        <v/>
      </c>
      <c r="L47" s="108">
        <f>IF(NOT(ISNUMBER(Dashboard!$B$11)),999,IF(OR(Dashboard!$B$11&lt;=0,$E47=""),999,ABS($E47-Dashboard!$B$11)))</f>
        <v>0.33600000000000008</v>
      </c>
      <c r="M47" s="108" t="str">
        <f>IF(NOT(ISNUMBER(Dashboard!$B$11)),"",IF(AND(Dashboard!$B$11&gt;0,$L47=MIN($L$2:$L$300)),"Closest overall reference",""))</f>
        <v/>
      </c>
      <c r="N47" s="108">
        <f>IF(NOT(ISNUMBER(Dashboard!$B$11)),999,IF(AND(Dashboard!$B$11&gt;0,$A47=Dashboard!$B$8,$E47&lt;&gt;""),ABS($E47-Dashboard!$B$11),999))</f>
        <v>999</v>
      </c>
      <c r="O47" s="108" t="str">
        <f>IF(NOT(ISNUMBER(Dashboard!$B$11)),"",IF(AND(Dashboard!$B$11&gt;0,$N47=MIN($N$2:$N$300)),"Closest same-material reference",""))</f>
        <v/>
      </c>
      <c r="P47" s="108" t="str">
        <f>IF(AND($A47=Dashboard!$B$8,$C47='Calc Engine'!$B$5,$E47&lt;&gt;""),$E47,"")</f>
        <v/>
      </c>
      <c r="Q47" s="108">
        <f>IF(NOT(ISNUMBER(Dashboard!$B$11)),-999,IF(AND($P47&lt;&gt;"",Dashboard!$B$11&gt;0,$P47&lt;=Dashboard!$B$11),$P47,-999))</f>
        <v>-999</v>
      </c>
      <c r="R47" s="108">
        <f>IF(NOT(ISNUMBER(Dashboard!$B$11)),999,IF(AND($P47&lt;&gt;"",Dashboard!$B$11&gt;0,$P47&gt;=Dashboard!$B$11),$P47,999))</f>
        <v>999</v>
      </c>
      <c r="S47" s="108" t="str">
        <f t="shared" si="0"/>
        <v/>
      </c>
    </row>
    <row r="48" spans="1:19" ht="41.1" customHeight="1">
      <c r="A48" s="1" t="s">
        <v>2146</v>
      </c>
      <c r="B48" s="1" t="s">
        <v>3012</v>
      </c>
      <c r="C48" s="1">
        <v>500</v>
      </c>
      <c r="D48" s="1">
        <v>5</v>
      </c>
      <c r="E48" s="1">
        <v>1.014</v>
      </c>
      <c r="F48" s="1" t="s">
        <v>3013</v>
      </c>
      <c r="G48" s="1" t="s">
        <v>3061</v>
      </c>
      <c r="H48" s="1" t="s">
        <v>2195</v>
      </c>
      <c r="I48" s="1" t="s">
        <v>2195</v>
      </c>
      <c r="J48" s="1" t="s">
        <v>2208</v>
      </c>
      <c r="K48" s="108" t="str">
        <f>IF(AND($A48=Dashboard!$B$8,$C48='Calc Engine'!$B$5),$E48,"")</f>
        <v/>
      </c>
      <c r="L48" s="108">
        <f>IF(NOT(ISNUMBER(Dashboard!$B$11)),999,IF(OR(Dashboard!$B$11&lt;=0,$E48=""),999,ABS($E48-Dashboard!$B$11)))</f>
        <v>0.33600000000000008</v>
      </c>
      <c r="M48" s="108" t="str">
        <f>IF(NOT(ISNUMBER(Dashboard!$B$11)),"",IF(AND(Dashboard!$B$11&gt;0,$L48=MIN($L$2:$L$300)),"Closest overall reference",""))</f>
        <v/>
      </c>
      <c r="N48" s="108">
        <f>IF(NOT(ISNUMBER(Dashboard!$B$11)),999,IF(AND(Dashboard!$B$11&gt;0,$A48=Dashboard!$B$8,$E48&lt;&gt;""),ABS($E48-Dashboard!$B$11),999))</f>
        <v>999</v>
      </c>
      <c r="O48" s="108" t="str">
        <f>IF(NOT(ISNUMBER(Dashboard!$B$11)),"",IF(AND(Dashboard!$B$11&gt;0,$N48=MIN($N$2:$N$300)),"Closest same-material reference",""))</f>
        <v/>
      </c>
      <c r="P48" s="108" t="str">
        <f>IF(AND($A48=Dashboard!$B$8,$C48='Calc Engine'!$B$5,$E48&lt;&gt;""),$E48,"")</f>
        <v/>
      </c>
      <c r="Q48" s="108">
        <f>IF(NOT(ISNUMBER(Dashboard!$B$11)),-999,IF(AND($P48&lt;&gt;"",Dashboard!$B$11&gt;0,$P48&lt;=Dashboard!$B$11),$P48,-999))</f>
        <v>-999</v>
      </c>
      <c r="R48" s="108">
        <f>IF(NOT(ISNUMBER(Dashboard!$B$11)),999,IF(AND($P48&lt;&gt;"",Dashboard!$B$11&gt;0,$P48&gt;=Dashboard!$B$11),$P48,999))</f>
        <v>999</v>
      </c>
      <c r="S48" s="108" t="str">
        <f t="shared" si="0"/>
        <v/>
      </c>
    </row>
    <row r="49" spans="1:19" ht="54.75" customHeight="1">
      <c r="A49" s="1" t="s">
        <v>2146</v>
      </c>
      <c r="B49" s="1" t="s">
        <v>3015</v>
      </c>
      <c r="C49" s="1">
        <v>500</v>
      </c>
      <c r="D49" s="1">
        <v>5</v>
      </c>
      <c r="E49" s="1">
        <v>1.014</v>
      </c>
      <c r="F49" s="1" t="s">
        <v>3016</v>
      </c>
      <c r="G49" s="1" t="s">
        <v>3062</v>
      </c>
      <c r="H49" s="1" t="s">
        <v>2195</v>
      </c>
      <c r="I49" s="1" t="s">
        <v>2195</v>
      </c>
      <c r="J49" s="1" t="s">
        <v>2208</v>
      </c>
      <c r="K49" s="108" t="str">
        <f>IF(AND($A49=Dashboard!$B$8,$C49='Calc Engine'!$B$5),$E49,"")</f>
        <v/>
      </c>
      <c r="L49" s="108">
        <f>IF(NOT(ISNUMBER(Dashboard!$B$11)),999,IF(OR(Dashboard!$B$11&lt;=0,$E49=""),999,ABS($E49-Dashboard!$B$11)))</f>
        <v>0.33600000000000008</v>
      </c>
      <c r="M49" s="108" t="str">
        <f>IF(NOT(ISNUMBER(Dashboard!$B$11)),"",IF(AND(Dashboard!$B$11&gt;0,$L49=MIN($L$2:$L$300)),"Closest overall reference",""))</f>
        <v/>
      </c>
      <c r="N49" s="108">
        <f>IF(NOT(ISNUMBER(Dashboard!$B$11)),999,IF(AND(Dashboard!$B$11&gt;0,$A49=Dashboard!$B$8,$E49&lt;&gt;""),ABS($E49-Dashboard!$B$11),999))</f>
        <v>999</v>
      </c>
      <c r="O49" s="108" t="str">
        <f>IF(NOT(ISNUMBER(Dashboard!$B$11)),"",IF(AND(Dashboard!$B$11&gt;0,$N49=MIN($N$2:$N$300)),"Closest same-material reference",""))</f>
        <v/>
      </c>
      <c r="P49" s="108" t="str">
        <f>IF(AND($A49=Dashboard!$B$8,$C49='Calc Engine'!$B$5,$E49&lt;&gt;""),$E49,"")</f>
        <v/>
      </c>
      <c r="Q49" s="108">
        <f>IF(NOT(ISNUMBER(Dashboard!$B$11)),-999,IF(AND($P49&lt;&gt;"",Dashboard!$B$11&gt;0,$P49&lt;=Dashboard!$B$11),$P49,-999))</f>
        <v>-999</v>
      </c>
      <c r="R49" s="108">
        <f>IF(NOT(ISNUMBER(Dashboard!$B$11)),999,IF(AND($P49&lt;&gt;"",Dashboard!$B$11&gt;0,$P49&gt;=Dashboard!$B$11),$P49,999))</f>
        <v>999</v>
      </c>
      <c r="S49" s="108" t="str">
        <f t="shared" si="0"/>
        <v/>
      </c>
    </row>
    <row r="50" spans="1:19" ht="27.4" customHeight="1">
      <c r="A50" s="1" t="s">
        <v>2146</v>
      </c>
      <c r="B50" s="1" t="s">
        <v>2181</v>
      </c>
      <c r="C50" s="1">
        <v>550</v>
      </c>
      <c r="D50" s="1">
        <v>6.3</v>
      </c>
      <c r="E50" s="1">
        <v>1.048</v>
      </c>
      <c r="F50" s="1" t="s">
        <v>3010</v>
      </c>
      <c r="G50" s="1" t="s">
        <v>3063</v>
      </c>
      <c r="H50" s="1" t="s">
        <v>2195</v>
      </c>
      <c r="I50" s="1" t="s">
        <v>2195</v>
      </c>
      <c r="J50" s="1" t="s">
        <v>2208</v>
      </c>
      <c r="K50" s="108" t="str">
        <f>IF(AND($A50=Dashboard!$B$8,$C50='Calc Engine'!$B$5),$E50,"")</f>
        <v/>
      </c>
      <c r="L50" s="108">
        <f>IF(NOT(ISNUMBER(Dashboard!$B$11)),999,IF(OR(Dashboard!$B$11&lt;=0,$E50=""),999,ABS($E50-Dashboard!$B$11)))</f>
        <v>0.30200000000000005</v>
      </c>
      <c r="M50" s="108" t="str">
        <f>IF(NOT(ISNUMBER(Dashboard!$B$11)),"",IF(AND(Dashboard!$B$11&gt;0,$L50=MIN($L$2:$L$300)),"Closest overall reference",""))</f>
        <v/>
      </c>
      <c r="N50" s="108">
        <f>IF(NOT(ISNUMBER(Dashboard!$B$11)),999,IF(AND(Dashboard!$B$11&gt;0,$A50=Dashboard!$B$8,$E50&lt;&gt;""),ABS($E50-Dashboard!$B$11),999))</f>
        <v>999</v>
      </c>
      <c r="O50" s="108" t="str">
        <f>IF(NOT(ISNUMBER(Dashboard!$B$11)),"",IF(AND(Dashboard!$B$11&gt;0,$N50=MIN($N$2:$N$300)),"Closest same-material reference",""))</f>
        <v/>
      </c>
      <c r="P50" s="108" t="str">
        <f>IF(AND($A50=Dashboard!$B$8,$C50='Calc Engine'!$B$5,$E50&lt;&gt;""),$E50,"")</f>
        <v/>
      </c>
      <c r="Q50" s="108">
        <f>IF(NOT(ISNUMBER(Dashboard!$B$11)),-999,IF(AND($P50&lt;&gt;"",Dashboard!$B$11&gt;0,$P50&lt;=Dashboard!$B$11),$P50,-999))</f>
        <v>-999</v>
      </c>
      <c r="R50" s="108">
        <f>IF(NOT(ISNUMBER(Dashboard!$B$11)),999,IF(AND($P50&lt;&gt;"",Dashboard!$B$11&gt;0,$P50&gt;=Dashboard!$B$11),$P50,999))</f>
        <v>999</v>
      </c>
      <c r="S50" s="108" t="str">
        <f t="shared" si="0"/>
        <v/>
      </c>
    </row>
    <row r="51" spans="1:19" ht="41.1" customHeight="1">
      <c r="A51" s="1" t="s">
        <v>2146</v>
      </c>
      <c r="B51" s="1" t="s">
        <v>3012</v>
      </c>
      <c r="C51" s="1">
        <v>550</v>
      </c>
      <c r="D51" s="1">
        <v>6.3</v>
      </c>
      <c r="E51" s="1">
        <v>1.048</v>
      </c>
      <c r="F51" s="1" t="s">
        <v>3013</v>
      </c>
      <c r="G51" s="1" t="s">
        <v>3064</v>
      </c>
      <c r="H51" s="1" t="s">
        <v>2195</v>
      </c>
      <c r="I51" s="1" t="s">
        <v>2195</v>
      </c>
      <c r="J51" s="1" t="s">
        <v>2208</v>
      </c>
      <c r="K51" s="108" t="str">
        <f>IF(AND($A51=Dashboard!$B$8,$C51='Calc Engine'!$B$5),$E51,"")</f>
        <v/>
      </c>
      <c r="L51" s="108">
        <f>IF(NOT(ISNUMBER(Dashboard!$B$11)),999,IF(OR(Dashboard!$B$11&lt;=0,$E51=""),999,ABS($E51-Dashboard!$B$11)))</f>
        <v>0.30200000000000005</v>
      </c>
      <c r="M51" s="108" t="str">
        <f>IF(NOT(ISNUMBER(Dashboard!$B$11)),"",IF(AND(Dashboard!$B$11&gt;0,$L51=MIN($L$2:$L$300)),"Closest overall reference",""))</f>
        <v/>
      </c>
      <c r="N51" s="108">
        <f>IF(NOT(ISNUMBER(Dashboard!$B$11)),999,IF(AND(Dashboard!$B$11&gt;0,$A51=Dashboard!$B$8,$E51&lt;&gt;""),ABS($E51-Dashboard!$B$11),999))</f>
        <v>999</v>
      </c>
      <c r="O51" s="108" t="str">
        <f>IF(NOT(ISNUMBER(Dashboard!$B$11)),"",IF(AND(Dashboard!$B$11&gt;0,$N51=MIN($N$2:$N$300)),"Closest same-material reference",""))</f>
        <v/>
      </c>
      <c r="P51" s="108" t="str">
        <f>IF(AND($A51=Dashboard!$B$8,$C51='Calc Engine'!$B$5,$E51&lt;&gt;""),$E51,"")</f>
        <v/>
      </c>
      <c r="Q51" s="108">
        <f>IF(NOT(ISNUMBER(Dashboard!$B$11)),-999,IF(AND($P51&lt;&gt;"",Dashboard!$B$11&gt;0,$P51&lt;=Dashboard!$B$11),$P51,-999))</f>
        <v>-999</v>
      </c>
      <c r="R51" s="108">
        <f>IF(NOT(ISNUMBER(Dashboard!$B$11)),999,IF(AND($P51&lt;&gt;"",Dashboard!$B$11&gt;0,$P51&gt;=Dashboard!$B$11),$P51,999))</f>
        <v>999</v>
      </c>
      <c r="S51" s="108" t="str">
        <f t="shared" si="0"/>
        <v/>
      </c>
    </row>
    <row r="52" spans="1:19" ht="54.75" customHeight="1">
      <c r="A52" s="1" t="s">
        <v>2146</v>
      </c>
      <c r="B52" s="1" t="s">
        <v>3015</v>
      </c>
      <c r="C52" s="1">
        <v>550</v>
      </c>
      <c r="D52" s="1">
        <v>6.3</v>
      </c>
      <c r="E52" s="1">
        <v>1.048</v>
      </c>
      <c r="F52" s="1" t="s">
        <v>3016</v>
      </c>
      <c r="G52" s="1" t="s">
        <v>3065</v>
      </c>
      <c r="H52" s="1" t="s">
        <v>2195</v>
      </c>
      <c r="I52" s="1" t="s">
        <v>2195</v>
      </c>
      <c r="J52" s="1" t="s">
        <v>2208</v>
      </c>
      <c r="K52" s="108" t="str">
        <f>IF(AND($A52=Dashboard!$B$8,$C52='Calc Engine'!$B$5),$E52,"")</f>
        <v/>
      </c>
      <c r="L52" s="108">
        <f>IF(NOT(ISNUMBER(Dashboard!$B$11)),999,IF(OR(Dashboard!$B$11&lt;=0,$E52=""),999,ABS($E52-Dashboard!$B$11)))</f>
        <v>0.30200000000000005</v>
      </c>
      <c r="M52" s="108" t="str">
        <f>IF(NOT(ISNUMBER(Dashboard!$B$11)),"",IF(AND(Dashboard!$B$11&gt;0,$L52=MIN($L$2:$L$300)),"Closest overall reference",""))</f>
        <v/>
      </c>
      <c r="N52" s="108">
        <f>IF(NOT(ISNUMBER(Dashboard!$B$11)),999,IF(AND(Dashboard!$B$11&gt;0,$A52=Dashboard!$B$8,$E52&lt;&gt;""),ABS($E52-Dashboard!$B$11),999))</f>
        <v>999</v>
      </c>
      <c r="O52" s="108" t="str">
        <f>IF(NOT(ISNUMBER(Dashboard!$B$11)),"",IF(AND(Dashboard!$B$11&gt;0,$N52=MIN($N$2:$N$300)),"Closest same-material reference",""))</f>
        <v/>
      </c>
      <c r="P52" s="108" t="str">
        <f>IF(AND($A52=Dashboard!$B$8,$C52='Calc Engine'!$B$5,$E52&lt;&gt;""),$E52,"")</f>
        <v/>
      </c>
      <c r="Q52" s="108">
        <f>IF(NOT(ISNUMBER(Dashboard!$B$11)),-999,IF(AND($P52&lt;&gt;"",Dashboard!$B$11&gt;0,$P52&lt;=Dashboard!$B$11),$P52,-999))</f>
        <v>-999</v>
      </c>
      <c r="R52" s="108">
        <f>IF(NOT(ISNUMBER(Dashboard!$B$11)),999,IF(AND($P52&lt;&gt;"",Dashboard!$B$11&gt;0,$P52&gt;=Dashboard!$B$11),$P52,999))</f>
        <v>999</v>
      </c>
      <c r="S52" s="108" t="str">
        <f t="shared" si="0"/>
        <v/>
      </c>
    </row>
    <row r="53" spans="1:19" ht="27.4" customHeight="1">
      <c r="A53" s="1" t="s">
        <v>2146</v>
      </c>
      <c r="B53" s="1" t="s">
        <v>2181</v>
      </c>
      <c r="C53" s="1">
        <v>600</v>
      </c>
      <c r="D53" s="1">
        <v>6.3</v>
      </c>
      <c r="E53" s="1">
        <v>1.0269999999999999</v>
      </c>
      <c r="F53" s="1" t="s">
        <v>3010</v>
      </c>
      <c r="G53" s="1" t="s">
        <v>3066</v>
      </c>
      <c r="H53" s="1" t="s">
        <v>2195</v>
      </c>
      <c r="I53" s="1" t="s">
        <v>2195</v>
      </c>
      <c r="J53" s="1" t="s">
        <v>2208</v>
      </c>
      <c r="K53" s="108" t="str">
        <f>IF(AND($A53=Dashboard!$B$8,$C53='Calc Engine'!$B$5),$E53,"")</f>
        <v/>
      </c>
      <c r="L53" s="108">
        <f>IF(NOT(ISNUMBER(Dashboard!$B$11)),999,IF(OR(Dashboard!$B$11&lt;=0,$E53=""),999,ABS($E53-Dashboard!$B$11)))</f>
        <v>0.32300000000000018</v>
      </c>
      <c r="M53" s="108" t="str">
        <f>IF(NOT(ISNUMBER(Dashboard!$B$11)),"",IF(AND(Dashboard!$B$11&gt;0,$L53=MIN($L$2:$L$300)),"Closest overall reference",""))</f>
        <v/>
      </c>
      <c r="N53" s="108">
        <f>IF(NOT(ISNUMBER(Dashboard!$B$11)),999,IF(AND(Dashboard!$B$11&gt;0,$A53=Dashboard!$B$8,$E53&lt;&gt;""),ABS($E53-Dashboard!$B$11),999))</f>
        <v>999</v>
      </c>
      <c r="O53" s="108" t="str">
        <f>IF(NOT(ISNUMBER(Dashboard!$B$11)),"",IF(AND(Dashboard!$B$11&gt;0,$N53=MIN($N$2:$N$300)),"Closest same-material reference",""))</f>
        <v/>
      </c>
      <c r="P53" s="108" t="str">
        <f>IF(AND($A53=Dashboard!$B$8,$C53='Calc Engine'!$B$5,$E53&lt;&gt;""),$E53,"")</f>
        <v/>
      </c>
      <c r="Q53" s="108">
        <f>IF(NOT(ISNUMBER(Dashboard!$B$11)),-999,IF(AND($P53&lt;&gt;"",Dashboard!$B$11&gt;0,$P53&lt;=Dashboard!$B$11),$P53,-999))</f>
        <v>-999</v>
      </c>
      <c r="R53" s="108">
        <f>IF(NOT(ISNUMBER(Dashboard!$B$11)),999,IF(AND($P53&lt;&gt;"",Dashboard!$B$11&gt;0,$P53&gt;=Dashboard!$B$11),$P53,999))</f>
        <v>999</v>
      </c>
      <c r="S53" s="108" t="str">
        <f t="shared" si="0"/>
        <v/>
      </c>
    </row>
    <row r="54" spans="1:19" ht="41.1" customHeight="1">
      <c r="A54" s="1" t="s">
        <v>2146</v>
      </c>
      <c r="B54" s="1" t="s">
        <v>3012</v>
      </c>
      <c r="C54" s="1">
        <v>600</v>
      </c>
      <c r="D54" s="1">
        <v>6.3</v>
      </c>
      <c r="E54" s="1">
        <v>1.0269999999999999</v>
      </c>
      <c r="F54" s="1" t="s">
        <v>3013</v>
      </c>
      <c r="G54" s="1" t="s">
        <v>3067</v>
      </c>
      <c r="H54" s="1" t="s">
        <v>2195</v>
      </c>
      <c r="I54" s="1" t="s">
        <v>2195</v>
      </c>
      <c r="J54" s="1" t="s">
        <v>2208</v>
      </c>
      <c r="K54" s="108" t="str">
        <f>IF(AND($A54=Dashboard!$B$8,$C54='Calc Engine'!$B$5),$E54,"")</f>
        <v/>
      </c>
      <c r="L54" s="108">
        <f>IF(NOT(ISNUMBER(Dashboard!$B$11)),999,IF(OR(Dashboard!$B$11&lt;=0,$E54=""),999,ABS($E54-Dashboard!$B$11)))</f>
        <v>0.32300000000000018</v>
      </c>
      <c r="M54" s="108" t="str">
        <f>IF(NOT(ISNUMBER(Dashboard!$B$11)),"",IF(AND(Dashboard!$B$11&gt;0,$L54=MIN($L$2:$L$300)),"Closest overall reference",""))</f>
        <v/>
      </c>
      <c r="N54" s="108">
        <f>IF(NOT(ISNUMBER(Dashboard!$B$11)),999,IF(AND(Dashboard!$B$11&gt;0,$A54=Dashboard!$B$8,$E54&lt;&gt;""),ABS($E54-Dashboard!$B$11),999))</f>
        <v>999</v>
      </c>
      <c r="O54" s="108" t="str">
        <f>IF(NOT(ISNUMBER(Dashboard!$B$11)),"",IF(AND(Dashboard!$B$11&gt;0,$N54=MIN($N$2:$N$300)),"Closest same-material reference",""))</f>
        <v/>
      </c>
      <c r="P54" s="108" t="str">
        <f>IF(AND($A54=Dashboard!$B$8,$C54='Calc Engine'!$B$5,$E54&lt;&gt;""),$E54,"")</f>
        <v/>
      </c>
      <c r="Q54" s="108">
        <f>IF(NOT(ISNUMBER(Dashboard!$B$11)),-999,IF(AND($P54&lt;&gt;"",Dashboard!$B$11&gt;0,$P54&lt;=Dashboard!$B$11),$P54,-999))</f>
        <v>-999</v>
      </c>
      <c r="R54" s="108">
        <f>IF(NOT(ISNUMBER(Dashboard!$B$11)),999,IF(AND($P54&lt;&gt;"",Dashboard!$B$11&gt;0,$P54&gt;=Dashboard!$B$11),$P54,999))</f>
        <v>999</v>
      </c>
      <c r="S54" s="108" t="str">
        <f t="shared" si="0"/>
        <v/>
      </c>
    </row>
    <row r="55" spans="1:19" ht="54.75" customHeight="1">
      <c r="A55" s="1" t="s">
        <v>2146</v>
      </c>
      <c r="B55" s="1" t="s">
        <v>3015</v>
      </c>
      <c r="C55" s="1">
        <v>600</v>
      </c>
      <c r="D55" s="1">
        <v>6.3</v>
      </c>
      <c r="E55" s="1">
        <v>1.0269999999999999</v>
      </c>
      <c r="F55" s="1" t="s">
        <v>3016</v>
      </c>
      <c r="G55" s="1" t="s">
        <v>3068</v>
      </c>
      <c r="H55" s="1" t="s">
        <v>2195</v>
      </c>
      <c r="I55" s="1" t="s">
        <v>2195</v>
      </c>
      <c r="J55" s="1" t="s">
        <v>2208</v>
      </c>
      <c r="K55" s="108" t="str">
        <f>IF(AND($A55=Dashboard!$B$8,$C55='Calc Engine'!$B$5),$E55,"")</f>
        <v/>
      </c>
      <c r="L55" s="108">
        <f>IF(NOT(ISNUMBER(Dashboard!$B$11)),999,IF(OR(Dashboard!$B$11&lt;=0,$E55=""),999,ABS($E55-Dashboard!$B$11)))</f>
        <v>0.32300000000000018</v>
      </c>
      <c r="M55" s="108" t="str">
        <f>IF(NOT(ISNUMBER(Dashboard!$B$11)),"",IF(AND(Dashboard!$B$11&gt;0,$L55=MIN($L$2:$L$300)),"Closest overall reference",""))</f>
        <v/>
      </c>
      <c r="N55" s="108">
        <f>IF(NOT(ISNUMBER(Dashboard!$B$11)),999,IF(AND(Dashboard!$B$11&gt;0,$A55=Dashboard!$B$8,$E55&lt;&gt;""),ABS($E55-Dashboard!$B$11),999))</f>
        <v>999</v>
      </c>
      <c r="O55" s="108" t="str">
        <f>IF(NOT(ISNUMBER(Dashboard!$B$11)),"",IF(AND(Dashboard!$B$11&gt;0,$N55=MIN($N$2:$N$300)),"Closest same-material reference",""))</f>
        <v/>
      </c>
      <c r="P55" s="108" t="str">
        <f>IF(AND($A55=Dashboard!$B$8,$C55='Calc Engine'!$B$5,$E55&lt;&gt;""),$E55,"")</f>
        <v/>
      </c>
      <c r="Q55" s="108">
        <f>IF(NOT(ISNUMBER(Dashboard!$B$11)),-999,IF(AND($P55&lt;&gt;"",Dashboard!$B$11&gt;0,$P55&lt;=Dashboard!$B$11),$P55,-999))</f>
        <v>-999</v>
      </c>
      <c r="R55" s="108">
        <f>IF(NOT(ISNUMBER(Dashboard!$B$11)),999,IF(AND($P55&lt;&gt;"",Dashboard!$B$11&gt;0,$P55&gt;=Dashboard!$B$11),$P55,999))</f>
        <v>999</v>
      </c>
      <c r="S55" s="108" t="str">
        <f t="shared" si="0"/>
        <v/>
      </c>
    </row>
    <row r="56" spans="1:19" ht="27.4" customHeight="1">
      <c r="A56" s="1" t="s">
        <v>2146</v>
      </c>
      <c r="B56" s="1" t="s">
        <v>2181</v>
      </c>
      <c r="C56" s="1">
        <v>650</v>
      </c>
      <c r="D56" s="1">
        <v>6.3</v>
      </c>
      <c r="E56" s="1">
        <v>1.0069999999999999</v>
      </c>
      <c r="F56" s="1" t="s">
        <v>3010</v>
      </c>
      <c r="G56" s="1" t="s">
        <v>3069</v>
      </c>
      <c r="H56" s="1" t="s">
        <v>2195</v>
      </c>
      <c r="I56" s="1" t="s">
        <v>2195</v>
      </c>
      <c r="J56" s="1" t="s">
        <v>2208</v>
      </c>
      <c r="K56" s="108" t="str">
        <f>IF(AND($A56=Dashboard!$B$8,$C56='Calc Engine'!$B$5),$E56,"")</f>
        <v/>
      </c>
      <c r="L56" s="108">
        <f>IF(NOT(ISNUMBER(Dashboard!$B$11)),999,IF(OR(Dashboard!$B$11&lt;=0,$E56=""),999,ABS($E56-Dashboard!$B$11)))</f>
        <v>0.34300000000000019</v>
      </c>
      <c r="M56" s="108" t="str">
        <f>IF(NOT(ISNUMBER(Dashboard!$B$11)),"",IF(AND(Dashboard!$B$11&gt;0,$L56=MIN($L$2:$L$300)),"Closest overall reference",""))</f>
        <v/>
      </c>
      <c r="N56" s="108">
        <f>IF(NOT(ISNUMBER(Dashboard!$B$11)),999,IF(AND(Dashboard!$B$11&gt;0,$A56=Dashboard!$B$8,$E56&lt;&gt;""),ABS($E56-Dashboard!$B$11),999))</f>
        <v>999</v>
      </c>
      <c r="O56" s="108" t="str">
        <f>IF(NOT(ISNUMBER(Dashboard!$B$11)),"",IF(AND(Dashboard!$B$11&gt;0,$N56=MIN($N$2:$N$300)),"Closest same-material reference",""))</f>
        <v/>
      </c>
      <c r="P56" s="108" t="str">
        <f>IF(AND($A56=Dashboard!$B$8,$C56='Calc Engine'!$B$5,$E56&lt;&gt;""),$E56,"")</f>
        <v/>
      </c>
      <c r="Q56" s="108">
        <f>IF(NOT(ISNUMBER(Dashboard!$B$11)),-999,IF(AND($P56&lt;&gt;"",Dashboard!$B$11&gt;0,$P56&lt;=Dashboard!$B$11),$P56,-999))</f>
        <v>-999</v>
      </c>
      <c r="R56" s="108">
        <f>IF(NOT(ISNUMBER(Dashboard!$B$11)),999,IF(AND($P56&lt;&gt;"",Dashboard!$B$11&gt;0,$P56&gt;=Dashboard!$B$11),$P56,999))</f>
        <v>999</v>
      </c>
      <c r="S56" s="108" t="str">
        <f t="shared" si="0"/>
        <v/>
      </c>
    </row>
    <row r="57" spans="1:19" ht="41.1" customHeight="1">
      <c r="A57" s="1" t="s">
        <v>2146</v>
      </c>
      <c r="B57" s="1" t="s">
        <v>3012</v>
      </c>
      <c r="C57" s="1">
        <v>650</v>
      </c>
      <c r="D57" s="1">
        <v>6.3</v>
      </c>
      <c r="E57" s="1">
        <v>1.0069999999999999</v>
      </c>
      <c r="F57" s="1" t="s">
        <v>3013</v>
      </c>
      <c r="G57" s="1" t="s">
        <v>3070</v>
      </c>
      <c r="H57" s="1" t="s">
        <v>2195</v>
      </c>
      <c r="I57" s="1" t="s">
        <v>2195</v>
      </c>
      <c r="J57" s="1" t="s">
        <v>2208</v>
      </c>
      <c r="K57" s="108" t="str">
        <f>IF(AND($A57=Dashboard!$B$8,$C57='Calc Engine'!$B$5),$E57,"")</f>
        <v/>
      </c>
      <c r="L57" s="108">
        <f>IF(NOT(ISNUMBER(Dashboard!$B$11)),999,IF(OR(Dashboard!$B$11&lt;=0,$E57=""),999,ABS($E57-Dashboard!$B$11)))</f>
        <v>0.34300000000000019</v>
      </c>
      <c r="M57" s="108" t="str">
        <f>IF(NOT(ISNUMBER(Dashboard!$B$11)),"",IF(AND(Dashboard!$B$11&gt;0,$L57=MIN($L$2:$L$300)),"Closest overall reference",""))</f>
        <v/>
      </c>
      <c r="N57" s="108">
        <f>IF(NOT(ISNUMBER(Dashboard!$B$11)),999,IF(AND(Dashboard!$B$11&gt;0,$A57=Dashboard!$B$8,$E57&lt;&gt;""),ABS($E57-Dashboard!$B$11),999))</f>
        <v>999</v>
      </c>
      <c r="O57" s="108" t="str">
        <f>IF(NOT(ISNUMBER(Dashboard!$B$11)),"",IF(AND(Dashboard!$B$11&gt;0,$N57=MIN($N$2:$N$300)),"Closest same-material reference",""))</f>
        <v/>
      </c>
      <c r="P57" s="108" t="str">
        <f>IF(AND($A57=Dashboard!$B$8,$C57='Calc Engine'!$B$5,$E57&lt;&gt;""),$E57,"")</f>
        <v/>
      </c>
      <c r="Q57" s="108">
        <f>IF(NOT(ISNUMBER(Dashboard!$B$11)),-999,IF(AND($P57&lt;&gt;"",Dashboard!$B$11&gt;0,$P57&lt;=Dashboard!$B$11),$P57,-999))</f>
        <v>-999</v>
      </c>
      <c r="R57" s="108">
        <f>IF(NOT(ISNUMBER(Dashboard!$B$11)),999,IF(AND($P57&lt;&gt;"",Dashboard!$B$11&gt;0,$P57&gt;=Dashboard!$B$11),$P57,999))</f>
        <v>999</v>
      </c>
      <c r="S57" s="108" t="str">
        <f t="shared" si="0"/>
        <v/>
      </c>
    </row>
    <row r="58" spans="1:19" ht="54.75" customHeight="1">
      <c r="A58" s="1" t="s">
        <v>2146</v>
      </c>
      <c r="B58" s="1" t="s">
        <v>3015</v>
      </c>
      <c r="C58" s="1">
        <v>650</v>
      </c>
      <c r="D58" s="1">
        <v>6.3</v>
      </c>
      <c r="E58" s="1">
        <v>1.0069999999999999</v>
      </c>
      <c r="F58" s="1" t="s">
        <v>3016</v>
      </c>
      <c r="G58" s="1" t="s">
        <v>3071</v>
      </c>
      <c r="H58" s="1" t="s">
        <v>2195</v>
      </c>
      <c r="I58" s="1" t="s">
        <v>2195</v>
      </c>
      <c r="J58" s="1" t="s">
        <v>2208</v>
      </c>
      <c r="K58" s="108" t="str">
        <f>IF(AND($A58=Dashboard!$B$8,$C58='Calc Engine'!$B$5),$E58,"")</f>
        <v/>
      </c>
      <c r="L58" s="108">
        <f>IF(NOT(ISNUMBER(Dashboard!$B$11)),999,IF(OR(Dashboard!$B$11&lt;=0,$E58=""),999,ABS($E58-Dashboard!$B$11)))</f>
        <v>0.34300000000000019</v>
      </c>
      <c r="M58" s="108" t="str">
        <f>IF(NOT(ISNUMBER(Dashboard!$B$11)),"",IF(AND(Dashboard!$B$11&gt;0,$L58=MIN($L$2:$L$300)),"Closest overall reference",""))</f>
        <v/>
      </c>
      <c r="N58" s="108">
        <f>IF(NOT(ISNUMBER(Dashboard!$B$11)),999,IF(AND(Dashboard!$B$11&gt;0,$A58=Dashboard!$B$8,$E58&lt;&gt;""),ABS($E58-Dashboard!$B$11),999))</f>
        <v>999</v>
      </c>
      <c r="O58" s="108" t="str">
        <f>IF(NOT(ISNUMBER(Dashboard!$B$11)),"",IF(AND(Dashboard!$B$11&gt;0,$N58=MIN($N$2:$N$300)),"Closest same-material reference",""))</f>
        <v/>
      </c>
      <c r="P58" s="108" t="str">
        <f>IF(AND($A58=Dashboard!$B$8,$C58='Calc Engine'!$B$5,$E58&lt;&gt;""),$E58,"")</f>
        <v/>
      </c>
      <c r="Q58" s="108">
        <f>IF(NOT(ISNUMBER(Dashboard!$B$11)),-999,IF(AND($P58&lt;&gt;"",Dashboard!$B$11&gt;0,$P58&lt;=Dashboard!$B$11),$P58,-999))</f>
        <v>-999</v>
      </c>
      <c r="R58" s="108">
        <f>IF(NOT(ISNUMBER(Dashboard!$B$11)),999,IF(AND($P58&lt;&gt;"",Dashboard!$B$11&gt;0,$P58&gt;=Dashboard!$B$11),$P58,999))</f>
        <v>999</v>
      </c>
      <c r="S58" s="108" t="str">
        <f t="shared" si="0"/>
        <v/>
      </c>
    </row>
    <row r="59" spans="1:19" ht="27.4" customHeight="1">
      <c r="A59" s="1" t="s">
        <v>2146</v>
      </c>
      <c r="B59" s="1" t="s">
        <v>2181</v>
      </c>
      <c r="C59" s="1">
        <v>700</v>
      </c>
      <c r="D59" s="1">
        <v>6.3</v>
      </c>
      <c r="E59" s="1">
        <v>0.98699999999999999</v>
      </c>
      <c r="F59" s="1" t="s">
        <v>3010</v>
      </c>
      <c r="G59" s="1" t="s">
        <v>3072</v>
      </c>
      <c r="H59" s="1" t="s">
        <v>2195</v>
      </c>
      <c r="I59" s="1" t="s">
        <v>2195</v>
      </c>
      <c r="J59" s="1" t="s">
        <v>2208</v>
      </c>
      <c r="K59" s="108" t="str">
        <f>IF(AND($A59=Dashboard!$B$8,$C59='Calc Engine'!$B$5),$E59,"")</f>
        <v/>
      </c>
      <c r="L59" s="108">
        <f>IF(NOT(ISNUMBER(Dashboard!$B$11)),999,IF(OR(Dashboard!$B$11&lt;=0,$E59=""),999,ABS($E59-Dashboard!$B$11)))</f>
        <v>0.3630000000000001</v>
      </c>
      <c r="M59" s="108" t="str">
        <f>IF(NOT(ISNUMBER(Dashboard!$B$11)),"",IF(AND(Dashboard!$B$11&gt;0,$L59=MIN($L$2:$L$300)),"Closest overall reference",""))</f>
        <v/>
      </c>
      <c r="N59" s="108">
        <f>IF(NOT(ISNUMBER(Dashboard!$B$11)),999,IF(AND(Dashboard!$B$11&gt;0,$A59=Dashboard!$B$8,$E59&lt;&gt;""),ABS($E59-Dashboard!$B$11),999))</f>
        <v>999</v>
      </c>
      <c r="O59" s="108" t="str">
        <f>IF(NOT(ISNUMBER(Dashboard!$B$11)),"",IF(AND(Dashboard!$B$11&gt;0,$N59=MIN($N$2:$N$300)),"Closest same-material reference",""))</f>
        <v/>
      </c>
      <c r="P59" s="108" t="str">
        <f>IF(AND($A59=Dashboard!$B$8,$C59='Calc Engine'!$B$5,$E59&lt;&gt;""),$E59,"")</f>
        <v/>
      </c>
      <c r="Q59" s="108">
        <f>IF(NOT(ISNUMBER(Dashboard!$B$11)),-999,IF(AND($P59&lt;&gt;"",Dashboard!$B$11&gt;0,$P59&lt;=Dashboard!$B$11),$P59,-999))</f>
        <v>-999</v>
      </c>
      <c r="R59" s="108">
        <f>IF(NOT(ISNUMBER(Dashboard!$B$11)),999,IF(AND($P59&lt;&gt;"",Dashboard!$B$11&gt;0,$P59&gt;=Dashboard!$B$11),$P59,999))</f>
        <v>999</v>
      </c>
      <c r="S59" s="108" t="str">
        <f t="shared" si="0"/>
        <v/>
      </c>
    </row>
    <row r="60" spans="1:19" ht="41.1" customHeight="1">
      <c r="A60" s="1" t="s">
        <v>2146</v>
      </c>
      <c r="B60" s="1" t="s">
        <v>3012</v>
      </c>
      <c r="C60" s="1">
        <v>700</v>
      </c>
      <c r="D60" s="1">
        <v>6.3</v>
      </c>
      <c r="E60" s="1">
        <v>0.98699999999999999</v>
      </c>
      <c r="F60" s="1" t="s">
        <v>3013</v>
      </c>
      <c r="G60" s="1" t="s">
        <v>3073</v>
      </c>
      <c r="H60" s="1" t="s">
        <v>2195</v>
      </c>
      <c r="I60" s="1" t="s">
        <v>2195</v>
      </c>
      <c r="J60" s="1" t="s">
        <v>2208</v>
      </c>
      <c r="K60" s="108" t="str">
        <f>IF(AND($A60=Dashboard!$B$8,$C60='Calc Engine'!$B$5),$E60,"")</f>
        <v/>
      </c>
      <c r="L60" s="108">
        <f>IF(NOT(ISNUMBER(Dashboard!$B$11)),999,IF(OR(Dashboard!$B$11&lt;=0,$E60=""),999,ABS($E60-Dashboard!$B$11)))</f>
        <v>0.3630000000000001</v>
      </c>
      <c r="M60" s="108" t="str">
        <f>IF(NOT(ISNUMBER(Dashboard!$B$11)),"",IF(AND(Dashboard!$B$11&gt;0,$L60=MIN($L$2:$L$300)),"Closest overall reference",""))</f>
        <v/>
      </c>
      <c r="N60" s="108">
        <f>IF(NOT(ISNUMBER(Dashboard!$B$11)),999,IF(AND(Dashboard!$B$11&gt;0,$A60=Dashboard!$B$8,$E60&lt;&gt;""),ABS($E60-Dashboard!$B$11),999))</f>
        <v>999</v>
      </c>
      <c r="O60" s="108" t="str">
        <f>IF(NOT(ISNUMBER(Dashboard!$B$11)),"",IF(AND(Dashboard!$B$11&gt;0,$N60=MIN($N$2:$N$300)),"Closest same-material reference",""))</f>
        <v/>
      </c>
      <c r="P60" s="108" t="str">
        <f>IF(AND($A60=Dashboard!$B$8,$C60='Calc Engine'!$B$5,$E60&lt;&gt;""),$E60,"")</f>
        <v/>
      </c>
      <c r="Q60" s="108">
        <f>IF(NOT(ISNUMBER(Dashboard!$B$11)),-999,IF(AND($P60&lt;&gt;"",Dashboard!$B$11&gt;0,$P60&lt;=Dashboard!$B$11),$P60,-999))</f>
        <v>-999</v>
      </c>
      <c r="R60" s="108">
        <f>IF(NOT(ISNUMBER(Dashboard!$B$11)),999,IF(AND($P60&lt;&gt;"",Dashboard!$B$11&gt;0,$P60&gt;=Dashboard!$B$11),$P60,999))</f>
        <v>999</v>
      </c>
      <c r="S60" s="108" t="str">
        <f t="shared" si="0"/>
        <v/>
      </c>
    </row>
    <row r="61" spans="1:19" ht="54.75" customHeight="1">
      <c r="A61" s="1" t="s">
        <v>2146</v>
      </c>
      <c r="B61" s="1" t="s">
        <v>3015</v>
      </c>
      <c r="C61" s="1">
        <v>700</v>
      </c>
      <c r="D61" s="1">
        <v>6.3</v>
      </c>
      <c r="E61" s="1">
        <v>0.98699999999999999</v>
      </c>
      <c r="F61" s="1" t="s">
        <v>3016</v>
      </c>
      <c r="G61" s="1" t="s">
        <v>3074</v>
      </c>
      <c r="H61" s="1" t="s">
        <v>2195</v>
      </c>
      <c r="I61" s="1" t="s">
        <v>2195</v>
      </c>
      <c r="J61" s="1" t="s">
        <v>2208</v>
      </c>
      <c r="K61" s="108" t="str">
        <f>IF(AND($A61=Dashboard!$B$8,$C61='Calc Engine'!$B$5),$E61,"")</f>
        <v/>
      </c>
      <c r="L61" s="108">
        <f>IF(NOT(ISNUMBER(Dashboard!$B$11)),999,IF(OR(Dashboard!$B$11&lt;=0,$E61=""),999,ABS($E61-Dashboard!$B$11)))</f>
        <v>0.3630000000000001</v>
      </c>
      <c r="M61" s="108" t="str">
        <f>IF(NOT(ISNUMBER(Dashboard!$B$11)),"",IF(AND(Dashboard!$B$11&gt;0,$L61=MIN($L$2:$L$300)),"Closest overall reference",""))</f>
        <v/>
      </c>
      <c r="N61" s="108">
        <f>IF(NOT(ISNUMBER(Dashboard!$B$11)),999,IF(AND(Dashboard!$B$11&gt;0,$A61=Dashboard!$B$8,$E61&lt;&gt;""),ABS($E61-Dashboard!$B$11),999))</f>
        <v>999</v>
      </c>
      <c r="O61" s="108" t="str">
        <f>IF(NOT(ISNUMBER(Dashboard!$B$11)),"",IF(AND(Dashboard!$B$11&gt;0,$N61=MIN($N$2:$N$300)),"Closest same-material reference",""))</f>
        <v/>
      </c>
      <c r="P61" s="108" t="str">
        <f>IF(AND($A61=Dashboard!$B$8,$C61='Calc Engine'!$B$5,$E61&lt;&gt;""),$E61,"")</f>
        <v/>
      </c>
      <c r="Q61" s="108">
        <f>IF(NOT(ISNUMBER(Dashboard!$B$11)),-999,IF(AND($P61&lt;&gt;"",Dashboard!$B$11&gt;0,$P61&lt;=Dashboard!$B$11),$P61,-999))</f>
        <v>-999</v>
      </c>
      <c r="R61" s="108">
        <f>IF(NOT(ISNUMBER(Dashboard!$B$11)),999,IF(AND($P61&lt;&gt;"",Dashboard!$B$11&gt;0,$P61&gt;=Dashboard!$B$11),$P61,999))</f>
        <v>999</v>
      </c>
      <c r="S61" s="108" t="str">
        <f t="shared" si="0"/>
        <v/>
      </c>
    </row>
    <row r="62" spans="1:19" ht="27.4" customHeight="1">
      <c r="A62" s="1" t="s">
        <v>2146</v>
      </c>
      <c r="B62" s="1" t="s">
        <v>2181</v>
      </c>
      <c r="C62" s="1">
        <v>750</v>
      </c>
      <c r="D62" s="1">
        <v>6.3</v>
      </c>
      <c r="E62" s="1">
        <v>0.96899999999999997</v>
      </c>
      <c r="F62" s="1" t="s">
        <v>3010</v>
      </c>
      <c r="G62" s="1" t="s">
        <v>3075</v>
      </c>
      <c r="H62" s="1" t="s">
        <v>2195</v>
      </c>
      <c r="I62" s="1" t="s">
        <v>2195</v>
      </c>
      <c r="J62" s="1" t="s">
        <v>2208</v>
      </c>
      <c r="K62" s="108" t="str">
        <f>IF(AND($A62=Dashboard!$B$8,$C62='Calc Engine'!$B$5),$E62,"")</f>
        <v/>
      </c>
      <c r="L62" s="108">
        <f>IF(NOT(ISNUMBER(Dashboard!$B$11)),999,IF(OR(Dashboard!$B$11&lt;=0,$E62=""),999,ABS($E62-Dashboard!$B$11)))</f>
        <v>0.38100000000000012</v>
      </c>
      <c r="M62" s="108" t="str">
        <f>IF(NOT(ISNUMBER(Dashboard!$B$11)),"",IF(AND(Dashboard!$B$11&gt;0,$L62=MIN($L$2:$L$300)),"Closest overall reference",""))</f>
        <v/>
      </c>
      <c r="N62" s="108">
        <f>IF(NOT(ISNUMBER(Dashboard!$B$11)),999,IF(AND(Dashboard!$B$11&gt;0,$A62=Dashboard!$B$8,$E62&lt;&gt;""),ABS($E62-Dashboard!$B$11),999))</f>
        <v>999</v>
      </c>
      <c r="O62" s="108" t="str">
        <f>IF(NOT(ISNUMBER(Dashboard!$B$11)),"",IF(AND(Dashboard!$B$11&gt;0,$N62=MIN($N$2:$N$300)),"Closest same-material reference",""))</f>
        <v/>
      </c>
      <c r="P62" s="108" t="str">
        <f>IF(AND($A62=Dashboard!$B$8,$C62='Calc Engine'!$B$5,$E62&lt;&gt;""),$E62,"")</f>
        <v/>
      </c>
      <c r="Q62" s="108">
        <f>IF(NOT(ISNUMBER(Dashboard!$B$11)),-999,IF(AND($P62&lt;&gt;"",Dashboard!$B$11&gt;0,$P62&lt;=Dashboard!$B$11),$P62,-999))</f>
        <v>-999</v>
      </c>
      <c r="R62" s="108">
        <f>IF(NOT(ISNUMBER(Dashboard!$B$11)),999,IF(AND($P62&lt;&gt;"",Dashboard!$B$11&gt;0,$P62&gt;=Dashboard!$B$11),$P62,999))</f>
        <v>999</v>
      </c>
      <c r="S62" s="108" t="str">
        <f t="shared" si="0"/>
        <v/>
      </c>
    </row>
    <row r="63" spans="1:19" ht="41.1" customHeight="1">
      <c r="A63" s="1" t="s">
        <v>2146</v>
      </c>
      <c r="B63" s="1" t="s">
        <v>3012</v>
      </c>
      <c r="C63" s="1">
        <v>750</v>
      </c>
      <c r="D63" s="1">
        <v>6.3</v>
      </c>
      <c r="E63" s="1">
        <v>0.96899999999999997</v>
      </c>
      <c r="F63" s="1" t="s">
        <v>3013</v>
      </c>
      <c r="G63" s="1" t="s">
        <v>3076</v>
      </c>
      <c r="H63" s="1" t="s">
        <v>2195</v>
      </c>
      <c r="I63" s="1" t="s">
        <v>2195</v>
      </c>
      <c r="J63" s="1" t="s">
        <v>2208</v>
      </c>
      <c r="K63" s="108" t="str">
        <f>IF(AND($A63=Dashboard!$B$8,$C63='Calc Engine'!$B$5),$E63,"")</f>
        <v/>
      </c>
      <c r="L63" s="108">
        <f>IF(NOT(ISNUMBER(Dashboard!$B$11)),999,IF(OR(Dashboard!$B$11&lt;=0,$E63=""),999,ABS($E63-Dashboard!$B$11)))</f>
        <v>0.38100000000000012</v>
      </c>
      <c r="M63" s="108" t="str">
        <f>IF(NOT(ISNUMBER(Dashboard!$B$11)),"",IF(AND(Dashboard!$B$11&gt;0,$L63=MIN($L$2:$L$300)),"Closest overall reference",""))</f>
        <v/>
      </c>
      <c r="N63" s="108">
        <f>IF(NOT(ISNUMBER(Dashboard!$B$11)),999,IF(AND(Dashboard!$B$11&gt;0,$A63=Dashboard!$B$8,$E63&lt;&gt;""),ABS($E63-Dashboard!$B$11),999))</f>
        <v>999</v>
      </c>
      <c r="O63" s="108" t="str">
        <f>IF(NOT(ISNUMBER(Dashboard!$B$11)),"",IF(AND(Dashboard!$B$11&gt;0,$N63=MIN($N$2:$N$300)),"Closest same-material reference",""))</f>
        <v/>
      </c>
      <c r="P63" s="108" t="str">
        <f>IF(AND($A63=Dashboard!$B$8,$C63='Calc Engine'!$B$5,$E63&lt;&gt;""),$E63,"")</f>
        <v/>
      </c>
      <c r="Q63" s="108">
        <f>IF(NOT(ISNUMBER(Dashboard!$B$11)),-999,IF(AND($P63&lt;&gt;"",Dashboard!$B$11&gt;0,$P63&lt;=Dashboard!$B$11),$P63,-999))</f>
        <v>-999</v>
      </c>
      <c r="R63" s="108">
        <f>IF(NOT(ISNUMBER(Dashboard!$B$11)),999,IF(AND($P63&lt;&gt;"",Dashboard!$B$11&gt;0,$P63&gt;=Dashboard!$B$11),$P63,999))</f>
        <v>999</v>
      </c>
      <c r="S63" s="108" t="str">
        <f t="shared" si="0"/>
        <v/>
      </c>
    </row>
    <row r="64" spans="1:19" ht="54.75" customHeight="1">
      <c r="A64" s="1" t="s">
        <v>2146</v>
      </c>
      <c r="B64" s="1" t="s">
        <v>3015</v>
      </c>
      <c r="C64" s="1">
        <v>750</v>
      </c>
      <c r="D64" s="1">
        <v>6.3</v>
      </c>
      <c r="E64" s="1">
        <v>0.96899999999999997</v>
      </c>
      <c r="F64" s="1" t="s">
        <v>3016</v>
      </c>
      <c r="G64" s="1" t="s">
        <v>3077</v>
      </c>
      <c r="H64" s="1" t="s">
        <v>2195</v>
      </c>
      <c r="I64" s="1" t="s">
        <v>2195</v>
      </c>
      <c r="J64" s="1" t="s">
        <v>2208</v>
      </c>
      <c r="K64" s="108" t="str">
        <f>IF(AND($A64=Dashboard!$B$8,$C64='Calc Engine'!$B$5),$E64,"")</f>
        <v/>
      </c>
      <c r="L64" s="108">
        <f>IF(NOT(ISNUMBER(Dashboard!$B$11)),999,IF(OR(Dashboard!$B$11&lt;=0,$E64=""),999,ABS($E64-Dashboard!$B$11)))</f>
        <v>0.38100000000000012</v>
      </c>
      <c r="M64" s="108" t="str">
        <f>IF(NOT(ISNUMBER(Dashboard!$B$11)),"",IF(AND(Dashboard!$B$11&gt;0,$L64=MIN($L$2:$L$300)),"Closest overall reference",""))</f>
        <v/>
      </c>
      <c r="N64" s="108">
        <f>IF(NOT(ISNUMBER(Dashboard!$B$11)),999,IF(AND(Dashboard!$B$11&gt;0,$A64=Dashboard!$B$8,$E64&lt;&gt;""),ABS($E64-Dashboard!$B$11),999))</f>
        <v>999</v>
      </c>
      <c r="O64" s="108" t="str">
        <f>IF(NOT(ISNUMBER(Dashboard!$B$11)),"",IF(AND(Dashboard!$B$11&gt;0,$N64=MIN($N$2:$N$300)),"Closest same-material reference",""))</f>
        <v/>
      </c>
      <c r="P64" s="108" t="str">
        <f>IF(AND($A64=Dashboard!$B$8,$C64='Calc Engine'!$B$5,$E64&lt;&gt;""),$E64,"")</f>
        <v/>
      </c>
      <c r="Q64" s="108">
        <f>IF(NOT(ISNUMBER(Dashboard!$B$11)),-999,IF(AND($P64&lt;&gt;"",Dashboard!$B$11&gt;0,$P64&lt;=Dashboard!$B$11),$P64,-999))</f>
        <v>-999</v>
      </c>
      <c r="R64" s="108">
        <f>IF(NOT(ISNUMBER(Dashboard!$B$11)),999,IF(AND($P64&lt;&gt;"",Dashboard!$B$11&gt;0,$P64&gt;=Dashboard!$B$11),$P64,999))</f>
        <v>999</v>
      </c>
      <c r="S64" s="108" t="str">
        <f t="shared" si="0"/>
        <v/>
      </c>
    </row>
    <row r="65" spans="1:19" ht="27.4" customHeight="1">
      <c r="A65" s="1" t="s">
        <v>2146</v>
      </c>
      <c r="B65" s="1" t="s">
        <v>2181</v>
      </c>
      <c r="C65" s="1">
        <v>800</v>
      </c>
      <c r="D65" s="1">
        <v>7.1</v>
      </c>
      <c r="E65" s="1">
        <v>0.98399999999999999</v>
      </c>
      <c r="F65" s="1" t="s">
        <v>3010</v>
      </c>
      <c r="G65" s="1" t="s">
        <v>3078</v>
      </c>
      <c r="H65" s="1" t="s">
        <v>2195</v>
      </c>
      <c r="I65" s="1" t="s">
        <v>2195</v>
      </c>
      <c r="J65" s="1" t="s">
        <v>2208</v>
      </c>
      <c r="K65" s="108" t="str">
        <f>IF(AND($A65=Dashboard!$B$8,$C65='Calc Engine'!$B$5),$E65,"")</f>
        <v/>
      </c>
      <c r="L65" s="108">
        <f>IF(NOT(ISNUMBER(Dashboard!$B$11)),999,IF(OR(Dashboard!$B$11&lt;=0,$E65=""),999,ABS($E65-Dashboard!$B$11)))</f>
        <v>0.3660000000000001</v>
      </c>
      <c r="M65" s="108" t="str">
        <f>IF(NOT(ISNUMBER(Dashboard!$B$11)),"",IF(AND(Dashboard!$B$11&gt;0,$L65=MIN($L$2:$L$300)),"Closest overall reference",""))</f>
        <v/>
      </c>
      <c r="N65" s="108">
        <f>IF(NOT(ISNUMBER(Dashboard!$B$11)),999,IF(AND(Dashboard!$B$11&gt;0,$A65=Dashboard!$B$8,$E65&lt;&gt;""),ABS($E65-Dashboard!$B$11),999))</f>
        <v>999</v>
      </c>
      <c r="O65" s="108" t="str">
        <f>IF(NOT(ISNUMBER(Dashboard!$B$11)),"",IF(AND(Dashboard!$B$11&gt;0,$N65=MIN($N$2:$N$300)),"Closest same-material reference",""))</f>
        <v/>
      </c>
      <c r="P65" s="108" t="str">
        <f>IF(AND($A65=Dashboard!$B$8,$C65='Calc Engine'!$B$5,$E65&lt;&gt;""),$E65,"")</f>
        <v/>
      </c>
      <c r="Q65" s="108">
        <f>IF(NOT(ISNUMBER(Dashboard!$B$11)),-999,IF(AND($P65&lt;&gt;"",Dashboard!$B$11&gt;0,$P65&lt;=Dashboard!$B$11),$P65,-999))</f>
        <v>-999</v>
      </c>
      <c r="R65" s="108">
        <f>IF(NOT(ISNUMBER(Dashboard!$B$11)),999,IF(AND($P65&lt;&gt;"",Dashboard!$B$11&gt;0,$P65&gt;=Dashboard!$B$11),$P65,999))</f>
        <v>999</v>
      </c>
      <c r="S65" s="108" t="str">
        <f t="shared" si="0"/>
        <v/>
      </c>
    </row>
    <row r="66" spans="1:19" ht="41.1" customHeight="1">
      <c r="A66" s="1" t="s">
        <v>2146</v>
      </c>
      <c r="B66" s="1" t="s">
        <v>3012</v>
      </c>
      <c r="C66" s="1">
        <v>800</v>
      </c>
      <c r="D66" s="1">
        <v>7.1</v>
      </c>
      <c r="E66" s="1">
        <v>0.98399999999999999</v>
      </c>
      <c r="F66" s="1" t="s">
        <v>3013</v>
      </c>
      <c r="G66" s="1" t="s">
        <v>3079</v>
      </c>
      <c r="H66" s="1" t="s">
        <v>2195</v>
      </c>
      <c r="I66" s="1" t="s">
        <v>2195</v>
      </c>
      <c r="J66" s="1" t="s">
        <v>2208</v>
      </c>
      <c r="K66" s="108" t="str">
        <f>IF(AND($A66=Dashboard!$B$8,$C66='Calc Engine'!$B$5),$E66,"")</f>
        <v/>
      </c>
      <c r="L66" s="108">
        <f>IF(NOT(ISNUMBER(Dashboard!$B$11)),999,IF(OR(Dashboard!$B$11&lt;=0,$E66=""),999,ABS($E66-Dashboard!$B$11)))</f>
        <v>0.3660000000000001</v>
      </c>
      <c r="M66" s="108" t="str">
        <f>IF(NOT(ISNUMBER(Dashboard!$B$11)),"",IF(AND(Dashboard!$B$11&gt;0,$L66=MIN($L$2:$L$300)),"Closest overall reference",""))</f>
        <v/>
      </c>
      <c r="N66" s="108">
        <f>IF(NOT(ISNUMBER(Dashboard!$B$11)),999,IF(AND(Dashboard!$B$11&gt;0,$A66=Dashboard!$B$8,$E66&lt;&gt;""),ABS($E66-Dashboard!$B$11),999))</f>
        <v>999</v>
      </c>
      <c r="O66" s="108" t="str">
        <f>IF(NOT(ISNUMBER(Dashboard!$B$11)),"",IF(AND(Dashboard!$B$11&gt;0,$N66=MIN($N$2:$N$300)),"Closest same-material reference",""))</f>
        <v/>
      </c>
      <c r="P66" s="108" t="str">
        <f>IF(AND($A66=Dashboard!$B$8,$C66='Calc Engine'!$B$5,$E66&lt;&gt;""),$E66,"")</f>
        <v/>
      </c>
      <c r="Q66" s="108">
        <f>IF(NOT(ISNUMBER(Dashboard!$B$11)),-999,IF(AND($P66&lt;&gt;"",Dashboard!$B$11&gt;0,$P66&lt;=Dashboard!$B$11),$P66,-999))</f>
        <v>-999</v>
      </c>
      <c r="R66" s="108">
        <f>IF(NOT(ISNUMBER(Dashboard!$B$11)),999,IF(AND($P66&lt;&gt;"",Dashboard!$B$11&gt;0,$P66&gt;=Dashboard!$B$11),$P66,999))</f>
        <v>999</v>
      </c>
      <c r="S66" s="108" t="str">
        <f t="shared" ref="S66:S129" si="1">IF($P66="","",$D66)</f>
        <v/>
      </c>
    </row>
    <row r="67" spans="1:19" ht="54.75" customHeight="1">
      <c r="A67" s="1" t="s">
        <v>2146</v>
      </c>
      <c r="B67" s="1" t="s">
        <v>3015</v>
      </c>
      <c r="C67" s="1">
        <v>800</v>
      </c>
      <c r="D67" s="1">
        <v>7.1</v>
      </c>
      <c r="E67" s="1">
        <v>0.98399999999999999</v>
      </c>
      <c r="F67" s="1" t="s">
        <v>3016</v>
      </c>
      <c r="G67" s="1" t="s">
        <v>3080</v>
      </c>
      <c r="H67" s="1" t="s">
        <v>2195</v>
      </c>
      <c r="I67" s="1" t="s">
        <v>2195</v>
      </c>
      <c r="J67" s="1" t="s">
        <v>2208</v>
      </c>
      <c r="K67" s="108" t="str">
        <f>IF(AND($A67=Dashboard!$B$8,$C67='Calc Engine'!$B$5),$E67,"")</f>
        <v/>
      </c>
      <c r="L67" s="108">
        <f>IF(NOT(ISNUMBER(Dashboard!$B$11)),999,IF(OR(Dashboard!$B$11&lt;=0,$E67=""),999,ABS($E67-Dashboard!$B$11)))</f>
        <v>0.3660000000000001</v>
      </c>
      <c r="M67" s="108" t="str">
        <f>IF(NOT(ISNUMBER(Dashboard!$B$11)),"",IF(AND(Dashboard!$B$11&gt;0,$L67=MIN($L$2:$L$300)),"Closest overall reference",""))</f>
        <v/>
      </c>
      <c r="N67" s="108">
        <f>IF(NOT(ISNUMBER(Dashboard!$B$11)),999,IF(AND(Dashboard!$B$11&gt;0,$A67=Dashboard!$B$8,$E67&lt;&gt;""),ABS($E67-Dashboard!$B$11),999))</f>
        <v>999</v>
      </c>
      <c r="O67" s="108" t="str">
        <f>IF(NOT(ISNUMBER(Dashboard!$B$11)),"",IF(AND(Dashboard!$B$11&gt;0,$N67=MIN($N$2:$N$300)),"Closest same-material reference",""))</f>
        <v/>
      </c>
      <c r="P67" s="108" t="str">
        <f>IF(AND($A67=Dashboard!$B$8,$C67='Calc Engine'!$B$5,$E67&lt;&gt;""),$E67,"")</f>
        <v/>
      </c>
      <c r="Q67" s="108">
        <f>IF(NOT(ISNUMBER(Dashboard!$B$11)),-999,IF(AND($P67&lt;&gt;"",Dashboard!$B$11&gt;0,$P67&lt;=Dashboard!$B$11),$P67,-999))</f>
        <v>-999</v>
      </c>
      <c r="R67" s="108">
        <f>IF(NOT(ISNUMBER(Dashboard!$B$11)),999,IF(AND($P67&lt;&gt;"",Dashboard!$B$11&gt;0,$P67&gt;=Dashboard!$B$11),$P67,999))</f>
        <v>999</v>
      </c>
      <c r="S67" s="108" t="str">
        <f t="shared" si="1"/>
        <v/>
      </c>
    </row>
    <row r="68" spans="1:19" ht="27.4" customHeight="1">
      <c r="A68" s="1" t="s">
        <v>2146</v>
      </c>
      <c r="B68" s="1" t="s">
        <v>2181</v>
      </c>
      <c r="C68" s="1">
        <v>850</v>
      </c>
      <c r="D68" s="1">
        <v>7.1</v>
      </c>
      <c r="E68" s="1">
        <v>0.96799999999999997</v>
      </c>
      <c r="F68" s="1" t="s">
        <v>3010</v>
      </c>
      <c r="G68" s="1" t="s">
        <v>3081</v>
      </c>
      <c r="H68" s="1" t="s">
        <v>2195</v>
      </c>
      <c r="I68" s="1" t="s">
        <v>2195</v>
      </c>
      <c r="J68" s="1" t="s">
        <v>2208</v>
      </c>
      <c r="K68" s="108" t="str">
        <f>IF(AND($A68=Dashboard!$B$8,$C68='Calc Engine'!$B$5),$E68,"")</f>
        <v/>
      </c>
      <c r="L68" s="108">
        <f>IF(NOT(ISNUMBER(Dashboard!$B$11)),999,IF(OR(Dashboard!$B$11&lt;=0,$E68=""),999,ABS($E68-Dashboard!$B$11)))</f>
        <v>0.38200000000000012</v>
      </c>
      <c r="M68" s="108" t="str">
        <f>IF(NOT(ISNUMBER(Dashboard!$B$11)),"",IF(AND(Dashboard!$B$11&gt;0,$L68=MIN($L$2:$L$300)),"Closest overall reference",""))</f>
        <v/>
      </c>
      <c r="N68" s="108">
        <f>IF(NOT(ISNUMBER(Dashboard!$B$11)),999,IF(AND(Dashboard!$B$11&gt;0,$A68=Dashboard!$B$8,$E68&lt;&gt;""),ABS($E68-Dashboard!$B$11),999))</f>
        <v>999</v>
      </c>
      <c r="O68" s="108" t="str">
        <f>IF(NOT(ISNUMBER(Dashboard!$B$11)),"",IF(AND(Dashboard!$B$11&gt;0,$N68=MIN($N$2:$N$300)),"Closest same-material reference",""))</f>
        <v/>
      </c>
      <c r="P68" s="108" t="str">
        <f>IF(AND($A68=Dashboard!$B$8,$C68='Calc Engine'!$B$5,$E68&lt;&gt;""),$E68,"")</f>
        <v/>
      </c>
      <c r="Q68" s="108">
        <f>IF(NOT(ISNUMBER(Dashboard!$B$11)),-999,IF(AND($P68&lt;&gt;"",Dashboard!$B$11&gt;0,$P68&lt;=Dashboard!$B$11),$P68,-999))</f>
        <v>-999</v>
      </c>
      <c r="R68" s="108">
        <f>IF(NOT(ISNUMBER(Dashboard!$B$11)),999,IF(AND($P68&lt;&gt;"",Dashboard!$B$11&gt;0,$P68&gt;=Dashboard!$B$11),$P68,999))</f>
        <v>999</v>
      </c>
      <c r="S68" s="108" t="str">
        <f t="shared" si="1"/>
        <v/>
      </c>
    </row>
    <row r="69" spans="1:19" ht="41.1" customHeight="1">
      <c r="A69" s="1" t="s">
        <v>2146</v>
      </c>
      <c r="B69" s="1" t="s">
        <v>3012</v>
      </c>
      <c r="C69" s="1">
        <v>850</v>
      </c>
      <c r="D69" s="1">
        <v>7.1</v>
      </c>
      <c r="E69" s="1">
        <v>0.96799999999999997</v>
      </c>
      <c r="F69" s="1" t="s">
        <v>3013</v>
      </c>
      <c r="G69" s="1" t="s">
        <v>3082</v>
      </c>
      <c r="H69" s="1" t="s">
        <v>2195</v>
      </c>
      <c r="I69" s="1" t="s">
        <v>2195</v>
      </c>
      <c r="J69" s="1" t="s">
        <v>2208</v>
      </c>
      <c r="K69" s="108" t="str">
        <f>IF(AND($A69=Dashboard!$B$8,$C69='Calc Engine'!$B$5),$E69,"")</f>
        <v/>
      </c>
      <c r="L69" s="108">
        <f>IF(NOT(ISNUMBER(Dashboard!$B$11)),999,IF(OR(Dashboard!$B$11&lt;=0,$E69=""),999,ABS($E69-Dashboard!$B$11)))</f>
        <v>0.38200000000000012</v>
      </c>
      <c r="M69" s="108" t="str">
        <f>IF(NOT(ISNUMBER(Dashboard!$B$11)),"",IF(AND(Dashboard!$B$11&gt;0,$L69=MIN($L$2:$L$300)),"Closest overall reference",""))</f>
        <v/>
      </c>
      <c r="N69" s="108">
        <f>IF(NOT(ISNUMBER(Dashboard!$B$11)),999,IF(AND(Dashboard!$B$11&gt;0,$A69=Dashboard!$B$8,$E69&lt;&gt;""),ABS($E69-Dashboard!$B$11),999))</f>
        <v>999</v>
      </c>
      <c r="O69" s="108" t="str">
        <f>IF(NOT(ISNUMBER(Dashboard!$B$11)),"",IF(AND(Dashboard!$B$11&gt;0,$N69=MIN($N$2:$N$300)),"Closest same-material reference",""))</f>
        <v/>
      </c>
      <c r="P69" s="108" t="str">
        <f>IF(AND($A69=Dashboard!$B$8,$C69='Calc Engine'!$B$5,$E69&lt;&gt;""),$E69,"")</f>
        <v/>
      </c>
      <c r="Q69" s="108">
        <f>IF(NOT(ISNUMBER(Dashboard!$B$11)),-999,IF(AND($P69&lt;&gt;"",Dashboard!$B$11&gt;0,$P69&lt;=Dashboard!$B$11),$P69,-999))</f>
        <v>-999</v>
      </c>
      <c r="R69" s="108">
        <f>IF(NOT(ISNUMBER(Dashboard!$B$11)),999,IF(AND($P69&lt;&gt;"",Dashboard!$B$11&gt;0,$P69&gt;=Dashboard!$B$11),$P69,999))</f>
        <v>999</v>
      </c>
      <c r="S69" s="108" t="str">
        <f t="shared" si="1"/>
        <v/>
      </c>
    </row>
    <row r="70" spans="1:19" ht="54.75" customHeight="1">
      <c r="A70" s="1" t="s">
        <v>2146</v>
      </c>
      <c r="B70" s="1" t="s">
        <v>3015</v>
      </c>
      <c r="C70" s="1">
        <v>850</v>
      </c>
      <c r="D70" s="1">
        <v>7.1</v>
      </c>
      <c r="E70" s="1">
        <v>0.96799999999999997</v>
      </c>
      <c r="F70" s="1" t="s">
        <v>3016</v>
      </c>
      <c r="G70" s="1" t="s">
        <v>3083</v>
      </c>
      <c r="H70" s="1" t="s">
        <v>2195</v>
      </c>
      <c r="I70" s="1" t="s">
        <v>2195</v>
      </c>
      <c r="J70" s="1" t="s">
        <v>2208</v>
      </c>
      <c r="K70" s="108" t="str">
        <f>IF(AND($A70=Dashboard!$B$8,$C70='Calc Engine'!$B$5),$E70,"")</f>
        <v/>
      </c>
      <c r="L70" s="108">
        <f>IF(NOT(ISNUMBER(Dashboard!$B$11)),999,IF(OR(Dashboard!$B$11&lt;=0,$E70=""),999,ABS($E70-Dashboard!$B$11)))</f>
        <v>0.38200000000000012</v>
      </c>
      <c r="M70" s="108" t="str">
        <f>IF(NOT(ISNUMBER(Dashboard!$B$11)),"",IF(AND(Dashboard!$B$11&gt;0,$L70=MIN($L$2:$L$300)),"Closest overall reference",""))</f>
        <v/>
      </c>
      <c r="N70" s="108">
        <f>IF(NOT(ISNUMBER(Dashboard!$B$11)),999,IF(AND(Dashboard!$B$11&gt;0,$A70=Dashboard!$B$8,$E70&lt;&gt;""),ABS($E70-Dashboard!$B$11),999))</f>
        <v>999</v>
      </c>
      <c r="O70" s="108" t="str">
        <f>IF(NOT(ISNUMBER(Dashboard!$B$11)),"",IF(AND(Dashboard!$B$11&gt;0,$N70=MIN($N$2:$N$300)),"Closest same-material reference",""))</f>
        <v/>
      </c>
      <c r="P70" s="108" t="str">
        <f>IF(AND($A70=Dashboard!$B$8,$C70='Calc Engine'!$B$5,$E70&lt;&gt;""),$E70,"")</f>
        <v/>
      </c>
      <c r="Q70" s="108">
        <f>IF(NOT(ISNUMBER(Dashboard!$B$11)),-999,IF(AND($P70&lt;&gt;"",Dashboard!$B$11&gt;0,$P70&lt;=Dashboard!$B$11),$P70,-999))</f>
        <v>-999</v>
      </c>
      <c r="R70" s="108">
        <f>IF(NOT(ISNUMBER(Dashboard!$B$11)),999,IF(AND($P70&lt;&gt;"",Dashboard!$B$11&gt;0,$P70&gt;=Dashboard!$B$11),$P70,999))</f>
        <v>999</v>
      </c>
      <c r="S70" s="108" t="str">
        <f t="shared" si="1"/>
        <v/>
      </c>
    </row>
    <row r="71" spans="1:19" ht="27.4" customHeight="1">
      <c r="A71" s="1" t="s">
        <v>2146</v>
      </c>
      <c r="B71" s="1" t="s">
        <v>2181</v>
      </c>
      <c r="C71" s="1">
        <v>900</v>
      </c>
      <c r="D71" s="1">
        <v>7.1</v>
      </c>
      <c r="E71" s="1">
        <v>0.95299999999999996</v>
      </c>
      <c r="F71" s="1" t="s">
        <v>3010</v>
      </c>
      <c r="G71" s="1" t="s">
        <v>3084</v>
      </c>
      <c r="H71" s="1" t="s">
        <v>2195</v>
      </c>
      <c r="I71" s="1" t="s">
        <v>2195</v>
      </c>
      <c r="J71" s="1" t="s">
        <v>2208</v>
      </c>
      <c r="K71" s="108" t="str">
        <f>IF(AND($A71=Dashboard!$B$8,$C71='Calc Engine'!$B$5),$E71,"")</f>
        <v/>
      </c>
      <c r="L71" s="108">
        <f>IF(NOT(ISNUMBER(Dashboard!$B$11)),999,IF(OR(Dashboard!$B$11&lt;=0,$E71=""),999,ABS($E71-Dashboard!$B$11)))</f>
        <v>0.39700000000000013</v>
      </c>
      <c r="M71" s="108" t="str">
        <f>IF(NOT(ISNUMBER(Dashboard!$B$11)),"",IF(AND(Dashboard!$B$11&gt;0,$L71=MIN($L$2:$L$300)),"Closest overall reference",""))</f>
        <v/>
      </c>
      <c r="N71" s="108">
        <f>IF(NOT(ISNUMBER(Dashboard!$B$11)),999,IF(AND(Dashboard!$B$11&gt;0,$A71=Dashboard!$B$8,$E71&lt;&gt;""),ABS($E71-Dashboard!$B$11),999))</f>
        <v>999</v>
      </c>
      <c r="O71" s="108" t="str">
        <f>IF(NOT(ISNUMBER(Dashboard!$B$11)),"",IF(AND(Dashboard!$B$11&gt;0,$N71=MIN($N$2:$N$300)),"Closest same-material reference",""))</f>
        <v/>
      </c>
      <c r="P71" s="108" t="str">
        <f>IF(AND($A71=Dashboard!$B$8,$C71='Calc Engine'!$B$5,$E71&lt;&gt;""),$E71,"")</f>
        <v/>
      </c>
      <c r="Q71" s="108">
        <f>IF(NOT(ISNUMBER(Dashboard!$B$11)),-999,IF(AND($P71&lt;&gt;"",Dashboard!$B$11&gt;0,$P71&lt;=Dashboard!$B$11),$P71,-999))</f>
        <v>-999</v>
      </c>
      <c r="R71" s="108">
        <f>IF(NOT(ISNUMBER(Dashboard!$B$11)),999,IF(AND($P71&lt;&gt;"",Dashboard!$B$11&gt;0,$P71&gt;=Dashboard!$B$11),$P71,999))</f>
        <v>999</v>
      </c>
      <c r="S71" s="108" t="str">
        <f t="shared" si="1"/>
        <v/>
      </c>
    </row>
    <row r="72" spans="1:19" ht="41.1" customHeight="1">
      <c r="A72" s="1" t="s">
        <v>2146</v>
      </c>
      <c r="B72" s="1" t="s">
        <v>3012</v>
      </c>
      <c r="C72" s="1">
        <v>900</v>
      </c>
      <c r="D72" s="1">
        <v>7.1</v>
      </c>
      <c r="E72" s="1">
        <v>0.95299999999999996</v>
      </c>
      <c r="F72" s="1" t="s">
        <v>3013</v>
      </c>
      <c r="G72" s="1" t="s">
        <v>3085</v>
      </c>
      <c r="H72" s="1" t="s">
        <v>2195</v>
      </c>
      <c r="I72" s="1" t="s">
        <v>2195</v>
      </c>
      <c r="J72" s="1" t="s">
        <v>2208</v>
      </c>
      <c r="K72" s="108" t="str">
        <f>IF(AND($A72=Dashboard!$B$8,$C72='Calc Engine'!$B$5),$E72,"")</f>
        <v/>
      </c>
      <c r="L72" s="108">
        <f>IF(NOT(ISNUMBER(Dashboard!$B$11)),999,IF(OR(Dashboard!$B$11&lt;=0,$E72=""),999,ABS($E72-Dashboard!$B$11)))</f>
        <v>0.39700000000000013</v>
      </c>
      <c r="M72" s="108" t="str">
        <f>IF(NOT(ISNUMBER(Dashboard!$B$11)),"",IF(AND(Dashboard!$B$11&gt;0,$L72=MIN($L$2:$L$300)),"Closest overall reference",""))</f>
        <v/>
      </c>
      <c r="N72" s="108">
        <f>IF(NOT(ISNUMBER(Dashboard!$B$11)),999,IF(AND(Dashboard!$B$11&gt;0,$A72=Dashboard!$B$8,$E72&lt;&gt;""),ABS($E72-Dashboard!$B$11),999))</f>
        <v>999</v>
      </c>
      <c r="O72" s="108" t="str">
        <f>IF(NOT(ISNUMBER(Dashboard!$B$11)),"",IF(AND(Dashboard!$B$11&gt;0,$N72=MIN($N$2:$N$300)),"Closest same-material reference",""))</f>
        <v/>
      </c>
      <c r="P72" s="108" t="str">
        <f>IF(AND($A72=Dashboard!$B$8,$C72='Calc Engine'!$B$5,$E72&lt;&gt;""),$E72,"")</f>
        <v/>
      </c>
      <c r="Q72" s="108">
        <f>IF(NOT(ISNUMBER(Dashboard!$B$11)),-999,IF(AND($P72&lt;&gt;"",Dashboard!$B$11&gt;0,$P72&lt;=Dashboard!$B$11),$P72,-999))</f>
        <v>-999</v>
      </c>
      <c r="R72" s="108">
        <f>IF(NOT(ISNUMBER(Dashboard!$B$11)),999,IF(AND($P72&lt;&gt;"",Dashboard!$B$11&gt;0,$P72&gt;=Dashboard!$B$11),$P72,999))</f>
        <v>999</v>
      </c>
      <c r="S72" s="108" t="str">
        <f t="shared" si="1"/>
        <v/>
      </c>
    </row>
    <row r="73" spans="1:19" ht="54.75" customHeight="1">
      <c r="A73" s="1" t="s">
        <v>2146</v>
      </c>
      <c r="B73" s="1" t="s">
        <v>3015</v>
      </c>
      <c r="C73" s="1">
        <v>900</v>
      </c>
      <c r="D73" s="1">
        <v>7.1</v>
      </c>
      <c r="E73" s="1">
        <v>0.95299999999999996</v>
      </c>
      <c r="F73" s="1" t="s">
        <v>3016</v>
      </c>
      <c r="G73" s="1" t="s">
        <v>3086</v>
      </c>
      <c r="H73" s="1" t="s">
        <v>2195</v>
      </c>
      <c r="I73" s="1" t="s">
        <v>2195</v>
      </c>
      <c r="J73" s="1" t="s">
        <v>2208</v>
      </c>
      <c r="K73" s="108" t="str">
        <f>IF(AND($A73=Dashboard!$B$8,$C73='Calc Engine'!$B$5),$E73,"")</f>
        <v/>
      </c>
      <c r="L73" s="108">
        <f>IF(NOT(ISNUMBER(Dashboard!$B$11)),999,IF(OR(Dashboard!$B$11&lt;=0,$E73=""),999,ABS($E73-Dashboard!$B$11)))</f>
        <v>0.39700000000000013</v>
      </c>
      <c r="M73" s="108" t="str">
        <f>IF(NOT(ISNUMBER(Dashboard!$B$11)),"",IF(AND(Dashboard!$B$11&gt;0,$L73=MIN($L$2:$L$300)),"Closest overall reference",""))</f>
        <v/>
      </c>
      <c r="N73" s="108">
        <f>IF(NOT(ISNUMBER(Dashboard!$B$11)),999,IF(AND(Dashboard!$B$11&gt;0,$A73=Dashboard!$B$8,$E73&lt;&gt;""),ABS($E73-Dashboard!$B$11),999))</f>
        <v>999</v>
      </c>
      <c r="O73" s="108" t="str">
        <f>IF(NOT(ISNUMBER(Dashboard!$B$11)),"",IF(AND(Dashboard!$B$11&gt;0,$N73=MIN($N$2:$N$300)),"Closest same-material reference",""))</f>
        <v/>
      </c>
      <c r="P73" s="108" t="str">
        <f>IF(AND($A73=Dashboard!$B$8,$C73='Calc Engine'!$B$5,$E73&lt;&gt;""),$E73,"")</f>
        <v/>
      </c>
      <c r="Q73" s="108">
        <f>IF(NOT(ISNUMBER(Dashboard!$B$11)),-999,IF(AND($P73&lt;&gt;"",Dashboard!$B$11&gt;0,$P73&lt;=Dashboard!$B$11),$P73,-999))</f>
        <v>-999</v>
      </c>
      <c r="R73" s="108">
        <f>IF(NOT(ISNUMBER(Dashboard!$B$11)),999,IF(AND($P73&lt;&gt;"",Dashboard!$B$11&gt;0,$P73&gt;=Dashboard!$B$11),$P73,999))</f>
        <v>999</v>
      </c>
      <c r="S73" s="108" t="str">
        <f t="shared" si="1"/>
        <v/>
      </c>
    </row>
    <row r="74" spans="1:19" ht="27.4" customHeight="1">
      <c r="A74" s="1" t="s">
        <v>2146</v>
      </c>
      <c r="B74" s="1" t="s">
        <v>2181</v>
      </c>
      <c r="C74" s="1">
        <v>1000</v>
      </c>
      <c r="D74" s="1">
        <v>7.1</v>
      </c>
      <c r="E74" s="1">
        <v>0.92400000000000004</v>
      </c>
      <c r="F74" s="1" t="s">
        <v>3010</v>
      </c>
      <c r="G74" s="1" t="s">
        <v>3087</v>
      </c>
      <c r="H74" s="1" t="s">
        <v>2195</v>
      </c>
      <c r="I74" s="1" t="s">
        <v>2195</v>
      </c>
      <c r="J74" s="1" t="s">
        <v>2208</v>
      </c>
      <c r="K74" s="108" t="str">
        <f>IF(AND($A74=Dashboard!$B$8,$C74='Calc Engine'!$B$5),$E74,"")</f>
        <v/>
      </c>
      <c r="L74" s="108">
        <f>IF(NOT(ISNUMBER(Dashboard!$B$11)),999,IF(OR(Dashboard!$B$11&lt;=0,$E74=""),999,ABS($E74-Dashboard!$B$11)))</f>
        <v>0.42600000000000005</v>
      </c>
      <c r="M74" s="108" t="str">
        <f>IF(NOT(ISNUMBER(Dashboard!$B$11)),"",IF(AND(Dashboard!$B$11&gt;0,$L74=MIN($L$2:$L$300)),"Closest overall reference",""))</f>
        <v/>
      </c>
      <c r="N74" s="108">
        <f>IF(NOT(ISNUMBER(Dashboard!$B$11)),999,IF(AND(Dashboard!$B$11&gt;0,$A74=Dashboard!$B$8,$E74&lt;&gt;""),ABS($E74-Dashboard!$B$11),999))</f>
        <v>999</v>
      </c>
      <c r="O74" s="108" t="str">
        <f>IF(NOT(ISNUMBER(Dashboard!$B$11)),"",IF(AND(Dashboard!$B$11&gt;0,$N74=MIN($N$2:$N$300)),"Closest same-material reference",""))</f>
        <v/>
      </c>
      <c r="P74" s="108" t="str">
        <f>IF(AND($A74=Dashboard!$B$8,$C74='Calc Engine'!$B$5,$E74&lt;&gt;""),$E74,"")</f>
        <v/>
      </c>
      <c r="Q74" s="108">
        <f>IF(NOT(ISNUMBER(Dashboard!$B$11)),-999,IF(AND($P74&lt;&gt;"",Dashboard!$B$11&gt;0,$P74&lt;=Dashboard!$B$11),$P74,-999))</f>
        <v>-999</v>
      </c>
      <c r="R74" s="108">
        <f>IF(NOT(ISNUMBER(Dashboard!$B$11)),999,IF(AND($P74&lt;&gt;"",Dashboard!$B$11&gt;0,$P74&gt;=Dashboard!$B$11),$P74,999))</f>
        <v>999</v>
      </c>
      <c r="S74" s="108" t="str">
        <f t="shared" si="1"/>
        <v/>
      </c>
    </row>
    <row r="75" spans="1:19" ht="41.1" customHeight="1">
      <c r="A75" s="1" t="s">
        <v>2146</v>
      </c>
      <c r="B75" s="1" t="s">
        <v>3012</v>
      </c>
      <c r="C75" s="1">
        <v>1000</v>
      </c>
      <c r="D75" s="1">
        <v>7.1</v>
      </c>
      <c r="E75" s="1">
        <v>0.92400000000000004</v>
      </c>
      <c r="F75" s="1" t="s">
        <v>3013</v>
      </c>
      <c r="G75" s="1" t="s">
        <v>3088</v>
      </c>
      <c r="H75" s="1" t="s">
        <v>2195</v>
      </c>
      <c r="I75" s="1" t="s">
        <v>2195</v>
      </c>
      <c r="J75" s="1" t="s">
        <v>2208</v>
      </c>
      <c r="K75" s="108" t="str">
        <f>IF(AND($A75=Dashboard!$B$8,$C75='Calc Engine'!$B$5),$E75,"")</f>
        <v/>
      </c>
      <c r="L75" s="108">
        <f>IF(NOT(ISNUMBER(Dashboard!$B$11)),999,IF(OR(Dashboard!$B$11&lt;=0,$E75=""),999,ABS($E75-Dashboard!$B$11)))</f>
        <v>0.42600000000000005</v>
      </c>
      <c r="M75" s="108" t="str">
        <f>IF(NOT(ISNUMBER(Dashboard!$B$11)),"",IF(AND(Dashboard!$B$11&gt;0,$L75=MIN($L$2:$L$300)),"Closest overall reference",""))</f>
        <v/>
      </c>
      <c r="N75" s="108">
        <f>IF(NOT(ISNUMBER(Dashboard!$B$11)),999,IF(AND(Dashboard!$B$11&gt;0,$A75=Dashboard!$B$8,$E75&lt;&gt;""),ABS($E75-Dashboard!$B$11),999))</f>
        <v>999</v>
      </c>
      <c r="O75" s="108" t="str">
        <f>IF(NOT(ISNUMBER(Dashboard!$B$11)),"",IF(AND(Dashboard!$B$11&gt;0,$N75=MIN($N$2:$N$300)),"Closest same-material reference",""))</f>
        <v/>
      </c>
      <c r="P75" s="108" t="str">
        <f>IF(AND($A75=Dashboard!$B$8,$C75='Calc Engine'!$B$5,$E75&lt;&gt;""),$E75,"")</f>
        <v/>
      </c>
      <c r="Q75" s="108">
        <f>IF(NOT(ISNUMBER(Dashboard!$B$11)),-999,IF(AND($P75&lt;&gt;"",Dashboard!$B$11&gt;0,$P75&lt;=Dashboard!$B$11),$P75,-999))</f>
        <v>-999</v>
      </c>
      <c r="R75" s="108">
        <f>IF(NOT(ISNUMBER(Dashboard!$B$11)),999,IF(AND($P75&lt;&gt;"",Dashboard!$B$11&gt;0,$P75&gt;=Dashboard!$B$11),$P75,999))</f>
        <v>999</v>
      </c>
      <c r="S75" s="108" t="str">
        <f t="shared" si="1"/>
        <v/>
      </c>
    </row>
    <row r="76" spans="1:19" ht="54.75" customHeight="1">
      <c r="A76" s="1" t="s">
        <v>2146</v>
      </c>
      <c r="B76" s="1" t="s">
        <v>3015</v>
      </c>
      <c r="C76" s="1">
        <v>1000</v>
      </c>
      <c r="D76" s="1">
        <v>7.1</v>
      </c>
      <c r="E76" s="1">
        <v>0.92400000000000004</v>
      </c>
      <c r="F76" s="1" t="s">
        <v>3016</v>
      </c>
      <c r="G76" s="1" t="s">
        <v>3089</v>
      </c>
      <c r="H76" s="1" t="s">
        <v>2195</v>
      </c>
      <c r="I76" s="1" t="s">
        <v>2195</v>
      </c>
      <c r="J76" s="1" t="s">
        <v>2208</v>
      </c>
      <c r="K76" s="108" t="str">
        <f>IF(AND($A76=Dashboard!$B$8,$C76='Calc Engine'!$B$5),$E76,"")</f>
        <v/>
      </c>
      <c r="L76" s="108">
        <f>IF(NOT(ISNUMBER(Dashboard!$B$11)),999,IF(OR(Dashboard!$B$11&lt;=0,$E76=""),999,ABS($E76-Dashboard!$B$11)))</f>
        <v>0.42600000000000005</v>
      </c>
      <c r="M76" s="108" t="str">
        <f>IF(NOT(ISNUMBER(Dashboard!$B$11)),"",IF(AND(Dashboard!$B$11&gt;0,$L76=MIN($L$2:$L$300)),"Closest overall reference",""))</f>
        <v/>
      </c>
      <c r="N76" s="108">
        <f>IF(NOT(ISNUMBER(Dashboard!$B$11)),999,IF(AND(Dashboard!$B$11&gt;0,$A76=Dashboard!$B$8,$E76&lt;&gt;""),ABS($E76-Dashboard!$B$11),999))</f>
        <v>999</v>
      </c>
      <c r="O76" s="108" t="str">
        <f>IF(NOT(ISNUMBER(Dashboard!$B$11)),"",IF(AND(Dashboard!$B$11&gt;0,$N76=MIN($N$2:$N$300)),"Closest same-material reference",""))</f>
        <v/>
      </c>
      <c r="P76" s="108" t="str">
        <f>IF(AND($A76=Dashboard!$B$8,$C76='Calc Engine'!$B$5,$E76&lt;&gt;""),$E76,"")</f>
        <v/>
      </c>
      <c r="Q76" s="108">
        <f>IF(NOT(ISNUMBER(Dashboard!$B$11)),-999,IF(AND($P76&lt;&gt;"",Dashboard!$B$11&gt;0,$P76&lt;=Dashboard!$B$11),$P76,-999))</f>
        <v>-999</v>
      </c>
      <c r="R76" s="108">
        <f>IF(NOT(ISNUMBER(Dashboard!$B$11)),999,IF(AND($P76&lt;&gt;"",Dashboard!$B$11&gt;0,$P76&gt;=Dashboard!$B$11),$P76,999))</f>
        <v>999</v>
      </c>
      <c r="S76" s="108" t="str">
        <f t="shared" si="1"/>
        <v/>
      </c>
    </row>
    <row r="77" spans="1:19" ht="27.4" customHeight="1">
      <c r="A77" s="1" t="s">
        <v>2146</v>
      </c>
      <c r="B77" s="1" t="s">
        <v>2181</v>
      </c>
      <c r="C77" s="1">
        <v>1200</v>
      </c>
      <c r="D77" s="1">
        <v>8</v>
      </c>
      <c r="E77" s="1">
        <v>0.90700000000000003</v>
      </c>
      <c r="F77" s="1" t="s">
        <v>3010</v>
      </c>
      <c r="G77" s="1" t="s">
        <v>3090</v>
      </c>
      <c r="H77" s="1" t="s">
        <v>2195</v>
      </c>
      <c r="I77" s="1" t="s">
        <v>2195</v>
      </c>
      <c r="J77" s="1" t="s">
        <v>2208</v>
      </c>
      <c r="K77" s="108" t="str">
        <f>IF(AND($A77=Dashboard!$B$8,$C77='Calc Engine'!$B$5),$E77,"")</f>
        <v/>
      </c>
      <c r="L77" s="108">
        <f>IF(NOT(ISNUMBER(Dashboard!$B$11)),999,IF(OR(Dashboard!$B$11&lt;=0,$E77=""),999,ABS($E77-Dashboard!$B$11)))</f>
        <v>0.44300000000000006</v>
      </c>
      <c r="M77" s="108" t="str">
        <f>IF(NOT(ISNUMBER(Dashboard!$B$11)),"",IF(AND(Dashboard!$B$11&gt;0,$L77=MIN($L$2:$L$300)),"Closest overall reference",""))</f>
        <v/>
      </c>
      <c r="N77" s="108">
        <f>IF(NOT(ISNUMBER(Dashboard!$B$11)),999,IF(AND(Dashboard!$B$11&gt;0,$A77=Dashboard!$B$8,$E77&lt;&gt;""),ABS($E77-Dashboard!$B$11),999))</f>
        <v>999</v>
      </c>
      <c r="O77" s="108" t="str">
        <f>IF(NOT(ISNUMBER(Dashboard!$B$11)),"",IF(AND(Dashboard!$B$11&gt;0,$N77=MIN($N$2:$N$300)),"Closest same-material reference",""))</f>
        <v/>
      </c>
      <c r="P77" s="108" t="str">
        <f>IF(AND($A77=Dashboard!$B$8,$C77='Calc Engine'!$B$5,$E77&lt;&gt;""),$E77,"")</f>
        <v/>
      </c>
      <c r="Q77" s="108">
        <f>IF(NOT(ISNUMBER(Dashboard!$B$11)),-999,IF(AND($P77&lt;&gt;"",Dashboard!$B$11&gt;0,$P77&lt;=Dashboard!$B$11),$P77,-999))</f>
        <v>-999</v>
      </c>
      <c r="R77" s="108">
        <f>IF(NOT(ISNUMBER(Dashboard!$B$11)),999,IF(AND($P77&lt;&gt;"",Dashboard!$B$11&gt;0,$P77&gt;=Dashboard!$B$11),$P77,999))</f>
        <v>999</v>
      </c>
      <c r="S77" s="108" t="str">
        <f t="shared" si="1"/>
        <v/>
      </c>
    </row>
    <row r="78" spans="1:19" ht="41.1" customHeight="1">
      <c r="A78" s="1" t="s">
        <v>2146</v>
      </c>
      <c r="B78" s="1" t="s">
        <v>3012</v>
      </c>
      <c r="C78" s="1">
        <v>1200</v>
      </c>
      <c r="D78" s="1">
        <v>8</v>
      </c>
      <c r="E78" s="1">
        <v>0.90700000000000003</v>
      </c>
      <c r="F78" s="1" t="s">
        <v>3013</v>
      </c>
      <c r="G78" s="1" t="s">
        <v>3091</v>
      </c>
      <c r="H78" s="1" t="s">
        <v>2195</v>
      </c>
      <c r="I78" s="1" t="s">
        <v>2195</v>
      </c>
      <c r="J78" s="1" t="s">
        <v>2208</v>
      </c>
      <c r="K78" s="108" t="str">
        <f>IF(AND($A78=Dashboard!$B$8,$C78='Calc Engine'!$B$5),$E78,"")</f>
        <v/>
      </c>
      <c r="L78" s="108">
        <f>IF(NOT(ISNUMBER(Dashboard!$B$11)),999,IF(OR(Dashboard!$B$11&lt;=0,$E78=""),999,ABS($E78-Dashboard!$B$11)))</f>
        <v>0.44300000000000006</v>
      </c>
      <c r="M78" s="108" t="str">
        <f>IF(NOT(ISNUMBER(Dashboard!$B$11)),"",IF(AND(Dashboard!$B$11&gt;0,$L78=MIN($L$2:$L$300)),"Closest overall reference",""))</f>
        <v/>
      </c>
      <c r="N78" s="108">
        <f>IF(NOT(ISNUMBER(Dashboard!$B$11)),999,IF(AND(Dashboard!$B$11&gt;0,$A78=Dashboard!$B$8,$E78&lt;&gt;""),ABS($E78-Dashboard!$B$11),999))</f>
        <v>999</v>
      </c>
      <c r="O78" s="108" t="str">
        <f>IF(NOT(ISNUMBER(Dashboard!$B$11)),"",IF(AND(Dashboard!$B$11&gt;0,$N78=MIN($N$2:$N$300)),"Closest same-material reference",""))</f>
        <v/>
      </c>
      <c r="P78" s="108" t="str">
        <f>IF(AND($A78=Dashboard!$B$8,$C78='Calc Engine'!$B$5,$E78&lt;&gt;""),$E78,"")</f>
        <v/>
      </c>
      <c r="Q78" s="108">
        <f>IF(NOT(ISNUMBER(Dashboard!$B$11)),-999,IF(AND($P78&lt;&gt;"",Dashboard!$B$11&gt;0,$P78&lt;=Dashboard!$B$11),$P78,-999))</f>
        <v>-999</v>
      </c>
      <c r="R78" s="108">
        <f>IF(NOT(ISNUMBER(Dashboard!$B$11)),999,IF(AND($P78&lt;&gt;"",Dashboard!$B$11&gt;0,$P78&gt;=Dashboard!$B$11),$P78,999))</f>
        <v>999</v>
      </c>
      <c r="S78" s="108" t="str">
        <f t="shared" si="1"/>
        <v/>
      </c>
    </row>
    <row r="79" spans="1:19" ht="54.75" customHeight="1">
      <c r="A79" s="1" t="s">
        <v>2146</v>
      </c>
      <c r="B79" s="1" t="s">
        <v>3015</v>
      </c>
      <c r="C79" s="1">
        <v>1200</v>
      </c>
      <c r="D79" s="1">
        <v>8</v>
      </c>
      <c r="E79" s="1">
        <v>0.90700000000000003</v>
      </c>
      <c r="F79" s="1" t="s">
        <v>3016</v>
      </c>
      <c r="G79" s="1" t="s">
        <v>3092</v>
      </c>
      <c r="H79" s="1" t="s">
        <v>2195</v>
      </c>
      <c r="I79" s="1" t="s">
        <v>2195</v>
      </c>
      <c r="J79" s="1" t="s">
        <v>2208</v>
      </c>
      <c r="K79" s="108" t="str">
        <f>IF(AND($A79=Dashboard!$B$8,$C79='Calc Engine'!$B$5),$E79,"")</f>
        <v/>
      </c>
      <c r="L79" s="108">
        <f>IF(NOT(ISNUMBER(Dashboard!$B$11)),999,IF(OR(Dashboard!$B$11&lt;=0,$E79=""),999,ABS($E79-Dashboard!$B$11)))</f>
        <v>0.44300000000000006</v>
      </c>
      <c r="M79" s="108" t="str">
        <f>IF(NOT(ISNUMBER(Dashboard!$B$11)),"",IF(AND(Dashboard!$B$11&gt;0,$L79=MIN($L$2:$L$300)),"Closest overall reference",""))</f>
        <v/>
      </c>
      <c r="N79" s="108">
        <f>IF(NOT(ISNUMBER(Dashboard!$B$11)),999,IF(AND(Dashboard!$B$11&gt;0,$A79=Dashboard!$B$8,$E79&lt;&gt;""),ABS($E79-Dashboard!$B$11),999))</f>
        <v>999</v>
      </c>
      <c r="O79" s="108" t="str">
        <f>IF(NOT(ISNUMBER(Dashboard!$B$11)),"",IF(AND(Dashboard!$B$11&gt;0,$N79=MIN($N$2:$N$300)),"Closest same-material reference",""))</f>
        <v/>
      </c>
      <c r="P79" s="108" t="str">
        <f>IF(AND($A79=Dashboard!$B$8,$C79='Calc Engine'!$B$5,$E79&lt;&gt;""),$E79,"")</f>
        <v/>
      </c>
      <c r="Q79" s="108">
        <f>IF(NOT(ISNUMBER(Dashboard!$B$11)),-999,IF(AND($P79&lt;&gt;"",Dashboard!$B$11&gt;0,$P79&lt;=Dashboard!$B$11),$P79,-999))</f>
        <v>-999</v>
      </c>
      <c r="R79" s="108">
        <f>IF(NOT(ISNUMBER(Dashboard!$B$11)),999,IF(AND($P79&lt;&gt;"",Dashboard!$B$11&gt;0,$P79&gt;=Dashboard!$B$11),$P79,999))</f>
        <v>999</v>
      </c>
      <c r="S79" s="108" t="str">
        <f t="shared" si="1"/>
        <v/>
      </c>
    </row>
    <row r="80" spans="1:19" ht="27.4" customHeight="1">
      <c r="A80" s="1" t="s">
        <v>2146</v>
      </c>
      <c r="B80" s="1" t="s">
        <v>2181</v>
      </c>
      <c r="C80" s="1">
        <v>1400</v>
      </c>
      <c r="D80" s="1">
        <v>8.8000000000000007</v>
      </c>
      <c r="E80" s="1">
        <v>0.89200000000000002</v>
      </c>
      <c r="F80" s="1" t="s">
        <v>3010</v>
      </c>
      <c r="G80" s="1" t="s">
        <v>3093</v>
      </c>
      <c r="H80" s="1" t="s">
        <v>2195</v>
      </c>
      <c r="I80" s="1" t="s">
        <v>2195</v>
      </c>
      <c r="J80" s="1" t="s">
        <v>2208</v>
      </c>
      <c r="K80" s="108" t="str">
        <f>IF(AND($A80=Dashboard!$B$8,$C80='Calc Engine'!$B$5),$E80,"")</f>
        <v/>
      </c>
      <c r="L80" s="108">
        <f>IF(NOT(ISNUMBER(Dashboard!$B$11)),999,IF(OR(Dashboard!$B$11&lt;=0,$E80=""),999,ABS($E80-Dashboard!$B$11)))</f>
        <v>0.45800000000000007</v>
      </c>
      <c r="M80" s="108" t="str">
        <f>IF(NOT(ISNUMBER(Dashboard!$B$11)),"",IF(AND(Dashboard!$B$11&gt;0,$L80=MIN($L$2:$L$300)),"Closest overall reference",""))</f>
        <v/>
      </c>
      <c r="N80" s="108">
        <f>IF(NOT(ISNUMBER(Dashboard!$B$11)),999,IF(AND(Dashboard!$B$11&gt;0,$A80=Dashboard!$B$8,$E80&lt;&gt;""),ABS($E80-Dashboard!$B$11),999))</f>
        <v>999</v>
      </c>
      <c r="O80" s="108" t="str">
        <f>IF(NOT(ISNUMBER(Dashboard!$B$11)),"",IF(AND(Dashboard!$B$11&gt;0,$N80=MIN($N$2:$N$300)),"Closest same-material reference",""))</f>
        <v/>
      </c>
      <c r="P80" s="108" t="str">
        <f>IF(AND($A80=Dashboard!$B$8,$C80='Calc Engine'!$B$5,$E80&lt;&gt;""),$E80,"")</f>
        <v/>
      </c>
      <c r="Q80" s="108">
        <f>IF(NOT(ISNUMBER(Dashboard!$B$11)),-999,IF(AND($P80&lt;&gt;"",Dashboard!$B$11&gt;0,$P80&lt;=Dashboard!$B$11),$P80,-999))</f>
        <v>-999</v>
      </c>
      <c r="R80" s="108">
        <f>IF(NOT(ISNUMBER(Dashboard!$B$11)),999,IF(AND($P80&lt;&gt;"",Dashboard!$B$11&gt;0,$P80&gt;=Dashboard!$B$11),$P80,999))</f>
        <v>999</v>
      </c>
      <c r="S80" s="108" t="str">
        <f t="shared" si="1"/>
        <v/>
      </c>
    </row>
    <row r="81" spans="1:19" ht="41.1" customHeight="1">
      <c r="A81" s="1" t="s">
        <v>2146</v>
      </c>
      <c r="B81" s="1" t="s">
        <v>3012</v>
      </c>
      <c r="C81" s="1">
        <v>1400</v>
      </c>
      <c r="D81" s="1">
        <v>8.8000000000000007</v>
      </c>
      <c r="E81" s="1">
        <v>0.89200000000000002</v>
      </c>
      <c r="F81" s="1" t="s">
        <v>3013</v>
      </c>
      <c r="G81" s="1" t="s">
        <v>3094</v>
      </c>
      <c r="H81" s="1" t="s">
        <v>2195</v>
      </c>
      <c r="I81" s="1" t="s">
        <v>2195</v>
      </c>
      <c r="J81" s="1" t="s">
        <v>2208</v>
      </c>
      <c r="K81" s="108" t="str">
        <f>IF(AND($A81=Dashboard!$B$8,$C81='Calc Engine'!$B$5),$E81,"")</f>
        <v/>
      </c>
      <c r="L81" s="108">
        <f>IF(NOT(ISNUMBER(Dashboard!$B$11)),999,IF(OR(Dashboard!$B$11&lt;=0,$E81=""),999,ABS($E81-Dashboard!$B$11)))</f>
        <v>0.45800000000000007</v>
      </c>
      <c r="M81" s="108" t="str">
        <f>IF(NOT(ISNUMBER(Dashboard!$B$11)),"",IF(AND(Dashboard!$B$11&gt;0,$L81=MIN($L$2:$L$300)),"Closest overall reference",""))</f>
        <v/>
      </c>
      <c r="N81" s="108">
        <f>IF(NOT(ISNUMBER(Dashboard!$B$11)),999,IF(AND(Dashboard!$B$11&gt;0,$A81=Dashboard!$B$8,$E81&lt;&gt;""),ABS($E81-Dashboard!$B$11),999))</f>
        <v>999</v>
      </c>
      <c r="O81" s="108" t="str">
        <f>IF(NOT(ISNUMBER(Dashboard!$B$11)),"",IF(AND(Dashboard!$B$11&gt;0,$N81=MIN($N$2:$N$300)),"Closest same-material reference",""))</f>
        <v/>
      </c>
      <c r="P81" s="108" t="str">
        <f>IF(AND($A81=Dashboard!$B$8,$C81='Calc Engine'!$B$5,$E81&lt;&gt;""),$E81,"")</f>
        <v/>
      </c>
      <c r="Q81" s="108">
        <f>IF(NOT(ISNUMBER(Dashboard!$B$11)),-999,IF(AND($P81&lt;&gt;"",Dashboard!$B$11&gt;0,$P81&lt;=Dashboard!$B$11),$P81,-999))</f>
        <v>-999</v>
      </c>
      <c r="R81" s="108">
        <f>IF(NOT(ISNUMBER(Dashboard!$B$11)),999,IF(AND($P81&lt;&gt;"",Dashboard!$B$11&gt;0,$P81&gt;=Dashboard!$B$11),$P81,999))</f>
        <v>999</v>
      </c>
      <c r="S81" s="108" t="str">
        <f t="shared" si="1"/>
        <v/>
      </c>
    </row>
    <row r="82" spans="1:19" ht="54.75" customHeight="1">
      <c r="A82" s="1" t="s">
        <v>2146</v>
      </c>
      <c r="B82" s="1" t="s">
        <v>3015</v>
      </c>
      <c r="C82" s="1">
        <v>1400</v>
      </c>
      <c r="D82" s="1">
        <v>8.8000000000000007</v>
      </c>
      <c r="E82" s="1">
        <v>0.89200000000000002</v>
      </c>
      <c r="F82" s="1" t="s">
        <v>3016</v>
      </c>
      <c r="G82" s="1" t="s">
        <v>3095</v>
      </c>
      <c r="H82" s="1" t="s">
        <v>2195</v>
      </c>
      <c r="I82" s="1" t="s">
        <v>2195</v>
      </c>
      <c r="J82" s="1" t="s">
        <v>2208</v>
      </c>
      <c r="K82" s="108" t="str">
        <f>IF(AND($A82=Dashboard!$B$8,$C82='Calc Engine'!$B$5),$E82,"")</f>
        <v/>
      </c>
      <c r="L82" s="108">
        <f>IF(NOT(ISNUMBER(Dashboard!$B$11)),999,IF(OR(Dashboard!$B$11&lt;=0,$E82=""),999,ABS($E82-Dashboard!$B$11)))</f>
        <v>0.45800000000000007</v>
      </c>
      <c r="M82" s="108" t="str">
        <f>IF(NOT(ISNUMBER(Dashboard!$B$11)),"",IF(AND(Dashboard!$B$11&gt;0,$L82=MIN($L$2:$L$300)),"Closest overall reference",""))</f>
        <v/>
      </c>
      <c r="N82" s="108">
        <f>IF(NOT(ISNUMBER(Dashboard!$B$11)),999,IF(AND(Dashboard!$B$11&gt;0,$A82=Dashboard!$B$8,$E82&lt;&gt;""),ABS($E82-Dashboard!$B$11),999))</f>
        <v>999</v>
      </c>
      <c r="O82" s="108" t="str">
        <f>IF(NOT(ISNUMBER(Dashboard!$B$11)),"",IF(AND(Dashboard!$B$11&gt;0,$N82=MIN($N$2:$N$300)),"Closest same-material reference",""))</f>
        <v/>
      </c>
      <c r="P82" s="108" t="str">
        <f>IF(AND($A82=Dashboard!$B$8,$C82='Calc Engine'!$B$5,$E82&lt;&gt;""),$E82,"")</f>
        <v/>
      </c>
      <c r="Q82" s="108">
        <f>IF(NOT(ISNUMBER(Dashboard!$B$11)),-999,IF(AND($P82&lt;&gt;"",Dashboard!$B$11&gt;0,$P82&lt;=Dashboard!$B$11),$P82,-999))</f>
        <v>-999</v>
      </c>
      <c r="R82" s="108">
        <f>IF(NOT(ISNUMBER(Dashboard!$B$11)),999,IF(AND($P82&lt;&gt;"",Dashboard!$B$11&gt;0,$P82&gt;=Dashboard!$B$11),$P82,999))</f>
        <v>999</v>
      </c>
      <c r="S82" s="108" t="str">
        <f t="shared" si="1"/>
        <v/>
      </c>
    </row>
    <row r="83" spans="1:19" ht="27.4" customHeight="1">
      <c r="A83" s="1" t="s">
        <v>2146</v>
      </c>
      <c r="B83" s="1" t="s">
        <v>2181</v>
      </c>
      <c r="C83" s="1">
        <v>1600</v>
      </c>
      <c r="D83" s="1">
        <v>10</v>
      </c>
      <c r="E83" s="1">
        <v>0.89100000000000001</v>
      </c>
      <c r="F83" s="1" t="s">
        <v>3010</v>
      </c>
      <c r="G83" s="1" t="s">
        <v>3096</v>
      </c>
      <c r="H83" s="1" t="s">
        <v>2195</v>
      </c>
      <c r="I83" s="1" t="s">
        <v>2195</v>
      </c>
      <c r="J83" s="1" t="s">
        <v>2208</v>
      </c>
      <c r="K83" s="108" t="str">
        <f>IF(AND($A83=Dashboard!$B$8,$C83='Calc Engine'!$B$5),$E83,"")</f>
        <v/>
      </c>
      <c r="L83" s="108">
        <f>IF(NOT(ISNUMBER(Dashboard!$B$11)),999,IF(OR(Dashboard!$B$11&lt;=0,$E83=""),999,ABS($E83-Dashboard!$B$11)))</f>
        <v>0.45900000000000007</v>
      </c>
      <c r="M83" s="108" t="str">
        <f>IF(NOT(ISNUMBER(Dashboard!$B$11)),"",IF(AND(Dashboard!$B$11&gt;0,$L83=MIN($L$2:$L$300)),"Closest overall reference",""))</f>
        <v/>
      </c>
      <c r="N83" s="108">
        <f>IF(NOT(ISNUMBER(Dashboard!$B$11)),999,IF(AND(Dashboard!$B$11&gt;0,$A83=Dashboard!$B$8,$E83&lt;&gt;""),ABS($E83-Dashboard!$B$11),999))</f>
        <v>999</v>
      </c>
      <c r="O83" s="108" t="str">
        <f>IF(NOT(ISNUMBER(Dashboard!$B$11)),"",IF(AND(Dashboard!$B$11&gt;0,$N83=MIN($N$2:$N$300)),"Closest same-material reference",""))</f>
        <v/>
      </c>
      <c r="P83" s="108" t="str">
        <f>IF(AND($A83=Dashboard!$B$8,$C83='Calc Engine'!$B$5,$E83&lt;&gt;""),$E83,"")</f>
        <v/>
      </c>
      <c r="Q83" s="108">
        <f>IF(NOT(ISNUMBER(Dashboard!$B$11)),-999,IF(AND($P83&lt;&gt;"",Dashboard!$B$11&gt;0,$P83&lt;=Dashboard!$B$11),$P83,-999))</f>
        <v>-999</v>
      </c>
      <c r="R83" s="108">
        <f>IF(NOT(ISNUMBER(Dashboard!$B$11)),999,IF(AND($P83&lt;&gt;"",Dashboard!$B$11&gt;0,$P83&gt;=Dashboard!$B$11),$P83,999))</f>
        <v>999</v>
      </c>
      <c r="S83" s="108" t="str">
        <f t="shared" si="1"/>
        <v/>
      </c>
    </row>
    <row r="84" spans="1:19" ht="41.1" customHeight="1">
      <c r="A84" s="1" t="s">
        <v>2146</v>
      </c>
      <c r="B84" s="1" t="s">
        <v>3012</v>
      </c>
      <c r="C84" s="1">
        <v>1600</v>
      </c>
      <c r="D84" s="1">
        <v>10</v>
      </c>
      <c r="E84" s="1">
        <v>0.89100000000000001</v>
      </c>
      <c r="F84" s="1" t="s">
        <v>3013</v>
      </c>
      <c r="G84" s="1" t="s">
        <v>3097</v>
      </c>
      <c r="H84" s="1" t="s">
        <v>2195</v>
      </c>
      <c r="I84" s="1" t="s">
        <v>2195</v>
      </c>
      <c r="J84" s="1" t="s">
        <v>2208</v>
      </c>
      <c r="K84" s="108" t="str">
        <f>IF(AND($A84=Dashboard!$B$8,$C84='Calc Engine'!$B$5),$E84,"")</f>
        <v/>
      </c>
      <c r="L84" s="108">
        <f>IF(NOT(ISNUMBER(Dashboard!$B$11)),999,IF(OR(Dashboard!$B$11&lt;=0,$E84=""),999,ABS($E84-Dashboard!$B$11)))</f>
        <v>0.45900000000000007</v>
      </c>
      <c r="M84" s="108" t="str">
        <f>IF(NOT(ISNUMBER(Dashboard!$B$11)),"",IF(AND(Dashboard!$B$11&gt;0,$L84=MIN($L$2:$L$300)),"Closest overall reference",""))</f>
        <v/>
      </c>
      <c r="N84" s="108">
        <f>IF(NOT(ISNUMBER(Dashboard!$B$11)),999,IF(AND(Dashboard!$B$11&gt;0,$A84=Dashboard!$B$8,$E84&lt;&gt;""),ABS($E84-Dashboard!$B$11),999))</f>
        <v>999</v>
      </c>
      <c r="O84" s="108" t="str">
        <f>IF(NOT(ISNUMBER(Dashboard!$B$11)),"",IF(AND(Dashboard!$B$11&gt;0,$N84=MIN($N$2:$N$300)),"Closest same-material reference",""))</f>
        <v/>
      </c>
      <c r="P84" s="108" t="str">
        <f>IF(AND($A84=Dashboard!$B$8,$C84='Calc Engine'!$B$5,$E84&lt;&gt;""),$E84,"")</f>
        <v/>
      </c>
      <c r="Q84" s="108">
        <f>IF(NOT(ISNUMBER(Dashboard!$B$11)),-999,IF(AND($P84&lt;&gt;"",Dashboard!$B$11&gt;0,$P84&lt;=Dashboard!$B$11),$P84,-999))</f>
        <v>-999</v>
      </c>
      <c r="R84" s="108">
        <f>IF(NOT(ISNUMBER(Dashboard!$B$11)),999,IF(AND($P84&lt;&gt;"",Dashboard!$B$11&gt;0,$P84&gt;=Dashboard!$B$11),$P84,999))</f>
        <v>999</v>
      </c>
      <c r="S84" s="108" t="str">
        <f t="shared" si="1"/>
        <v/>
      </c>
    </row>
    <row r="85" spans="1:19" ht="54.75" customHeight="1">
      <c r="A85" s="1" t="s">
        <v>2146</v>
      </c>
      <c r="B85" s="1" t="s">
        <v>3015</v>
      </c>
      <c r="C85" s="1">
        <v>1600</v>
      </c>
      <c r="D85" s="1">
        <v>10</v>
      </c>
      <c r="E85" s="1">
        <v>0.89100000000000001</v>
      </c>
      <c r="F85" s="1" t="s">
        <v>3016</v>
      </c>
      <c r="G85" s="1" t="s">
        <v>3098</v>
      </c>
      <c r="H85" s="1" t="s">
        <v>2195</v>
      </c>
      <c r="I85" s="1" t="s">
        <v>2195</v>
      </c>
      <c r="J85" s="1" t="s">
        <v>2208</v>
      </c>
      <c r="K85" s="108" t="str">
        <f>IF(AND($A85=Dashboard!$B$8,$C85='Calc Engine'!$B$5),$E85,"")</f>
        <v/>
      </c>
      <c r="L85" s="108">
        <f>IF(NOT(ISNUMBER(Dashboard!$B$11)),999,IF(OR(Dashboard!$B$11&lt;=0,$E85=""),999,ABS($E85-Dashboard!$B$11)))</f>
        <v>0.45900000000000007</v>
      </c>
      <c r="M85" s="108" t="str">
        <f>IF(NOT(ISNUMBER(Dashboard!$B$11)),"",IF(AND(Dashboard!$B$11&gt;0,$L85=MIN($L$2:$L$300)),"Closest overall reference",""))</f>
        <v/>
      </c>
      <c r="N85" s="108">
        <f>IF(NOT(ISNUMBER(Dashboard!$B$11)),999,IF(AND(Dashboard!$B$11&gt;0,$A85=Dashboard!$B$8,$E85&lt;&gt;""),ABS($E85-Dashboard!$B$11),999))</f>
        <v>999</v>
      </c>
      <c r="O85" s="108" t="str">
        <f>IF(NOT(ISNUMBER(Dashboard!$B$11)),"",IF(AND(Dashboard!$B$11&gt;0,$N85=MIN($N$2:$N$300)),"Closest same-material reference",""))</f>
        <v/>
      </c>
      <c r="P85" s="108" t="str">
        <f>IF(AND($A85=Dashboard!$B$8,$C85='Calc Engine'!$B$5,$E85&lt;&gt;""),$E85,"")</f>
        <v/>
      </c>
      <c r="Q85" s="108">
        <f>IF(NOT(ISNUMBER(Dashboard!$B$11)),-999,IF(AND($P85&lt;&gt;"",Dashboard!$B$11&gt;0,$P85&lt;=Dashboard!$B$11),$P85,-999))</f>
        <v>-999</v>
      </c>
      <c r="R85" s="108">
        <f>IF(NOT(ISNUMBER(Dashboard!$B$11)),999,IF(AND($P85&lt;&gt;"",Dashboard!$B$11&gt;0,$P85&gt;=Dashboard!$B$11),$P85,999))</f>
        <v>999</v>
      </c>
      <c r="S85" s="108" t="str">
        <f t="shared" si="1"/>
        <v/>
      </c>
    </row>
    <row r="86" spans="1:19" ht="27.4" customHeight="1">
      <c r="A86" s="1" t="s">
        <v>2146</v>
      </c>
      <c r="B86" s="1" t="s">
        <v>2181</v>
      </c>
      <c r="C86" s="1">
        <v>1800</v>
      </c>
      <c r="D86" s="1">
        <v>11</v>
      </c>
      <c r="E86" s="1">
        <v>0.88500000000000001</v>
      </c>
      <c r="F86" s="1" t="s">
        <v>3010</v>
      </c>
      <c r="G86" s="1" t="s">
        <v>3099</v>
      </c>
      <c r="H86" s="1" t="s">
        <v>2195</v>
      </c>
      <c r="I86" s="1" t="s">
        <v>2195</v>
      </c>
      <c r="J86" s="1" t="s">
        <v>2208</v>
      </c>
      <c r="K86" s="108" t="str">
        <f>IF(AND($A86=Dashboard!$B$8,$C86='Calc Engine'!$B$5),$E86,"")</f>
        <v/>
      </c>
      <c r="L86" s="108">
        <f>IF(NOT(ISNUMBER(Dashboard!$B$11)),999,IF(OR(Dashboard!$B$11&lt;=0,$E86=""),999,ABS($E86-Dashboard!$B$11)))</f>
        <v>0.46500000000000008</v>
      </c>
      <c r="M86" s="108" t="str">
        <f>IF(NOT(ISNUMBER(Dashboard!$B$11)),"",IF(AND(Dashboard!$B$11&gt;0,$L86=MIN($L$2:$L$300)),"Closest overall reference",""))</f>
        <v/>
      </c>
      <c r="N86" s="108">
        <f>IF(NOT(ISNUMBER(Dashboard!$B$11)),999,IF(AND(Dashboard!$B$11&gt;0,$A86=Dashboard!$B$8,$E86&lt;&gt;""),ABS($E86-Dashboard!$B$11),999))</f>
        <v>999</v>
      </c>
      <c r="O86" s="108" t="str">
        <f>IF(NOT(ISNUMBER(Dashboard!$B$11)),"",IF(AND(Dashboard!$B$11&gt;0,$N86=MIN($N$2:$N$300)),"Closest same-material reference",""))</f>
        <v/>
      </c>
      <c r="P86" s="108" t="str">
        <f>IF(AND($A86=Dashboard!$B$8,$C86='Calc Engine'!$B$5,$E86&lt;&gt;""),$E86,"")</f>
        <v/>
      </c>
      <c r="Q86" s="108">
        <f>IF(NOT(ISNUMBER(Dashboard!$B$11)),-999,IF(AND($P86&lt;&gt;"",Dashboard!$B$11&gt;0,$P86&lt;=Dashboard!$B$11),$P86,-999))</f>
        <v>-999</v>
      </c>
      <c r="R86" s="108">
        <f>IF(NOT(ISNUMBER(Dashboard!$B$11)),999,IF(AND($P86&lt;&gt;"",Dashboard!$B$11&gt;0,$P86&gt;=Dashboard!$B$11),$P86,999))</f>
        <v>999</v>
      </c>
      <c r="S86" s="108" t="str">
        <f t="shared" si="1"/>
        <v/>
      </c>
    </row>
    <row r="87" spans="1:19" ht="41.1" customHeight="1">
      <c r="A87" s="1" t="s">
        <v>2146</v>
      </c>
      <c r="B87" s="1" t="s">
        <v>3012</v>
      </c>
      <c r="C87" s="1">
        <v>1800</v>
      </c>
      <c r="D87" s="1">
        <v>11</v>
      </c>
      <c r="E87" s="1">
        <v>0.88500000000000001</v>
      </c>
      <c r="F87" s="1" t="s">
        <v>3013</v>
      </c>
      <c r="G87" s="1" t="s">
        <v>3100</v>
      </c>
      <c r="H87" s="1" t="s">
        <v>2195</v>
      </c>
      <c r="I87" s="1" t="s">
        <v>2195</v>
      </c>
      <c r="J87" s="1" t="s">
        <v>2208</v>
      </c>
      <c r="K87" s="108" t="str">
        <f>IF(AND($A87=Dashboard!$B$8,$C87='Calc Engine'!$B$5),$E87,"")</f>
        <v/>
      </c>
      <c r="L87" s="108">
        <f>IF(NOT(ISNUMBER(Dashboard!$B$11)),999,IF(OR(Dashboard!$B$11&lt;=0,$E87=""),999,ABS($E87-Dashboard!$B$11)))</f>
        <v>0.46500000000000008</v>
      </c>
      <c r="M87" s="108" t="str">
        <f>IF(NOT(ISNUMBER(Dashboard!$B$11)),"",IF(AND(Dashboard!$B$11&gt;0,$L87=MIN($L$2:$L$300)),"Closest overall reference",""))</f>
        <v/>
      </c>
      <c r="N87" s="108">
        <f>IF(NOT(ISNUMBER(Dashboard!$B$11)),999,IF(AND(Dashboard!$B$11&gt;0,$A87=Dashboard!$B$8,$E87&lt;&gt;""),ABS($E87-Dashboard!$B$11),999))</f>
        <v>999</v>
      </c>
      <c r="O87" s="108" t="str">
        <f>IF(NOT(ISNUMBER(Dashboard!$B$11)),"",IF(AND(Dashboard!$B$11&gt;0,$N87=MIN($N$2:$N$300)),"Closest same-material reference",""))</f>
        <v/>
      </c>
      <c r="P87" s="108" t="str">
        <f>IF(AND($A87=Dashboard!$B$8,$C87='Calc Engine'!$B$5,$E87&lt;&gt;""),$E87,"")</f>
        <v/>
      </c>
      <c r="Q87" s="108">
        <f>IF(NOT(ISNUMBER(Dashboard!$B$11)),-999,IF(AND($P87&lt;&gt;"",Dashboard!$B$11&gt;0,$P87&lt;=Dashboard!$B$11),$P87,-999))</f>
        <v>-999</v>
      </c>
      <c r="R87" s="108">
        <f>IF(NOT(ISNUMBER(Dashboard!$B$11)),999,IF(AND($P87&lt;&gt;"",Dashboard!$B$11&gt;0,$P87&gt;=Dashboard!$B$11),$P87,999))</f>
        <v>999</v>
      </c>
      <c r="S87" s="108" t="str">
        <f t="shared" si="1"/>
        <v/>
      </c>
    </row>
    <row r="88" spans="1:19" ht="54.75" customHeight="1">
      <c r="A88" s="1" t="s">
        <v>2146</v>
      </c>
      <c r="B88" s="1" t="s">
        <v>3015</v>
      </c>
      <c r="C88" s="1">
        <v>1800</v>
      </c>
      <c r="D88" s="1">
        <v>11</v>
      </c>
      <c r="E88" s="1">
        <v>0.88500000000000001</v>
      </c>
      <c r="F88" s="1" t="s">
        <v>3016</v>
      </c>
      <c r="G88" s="1" t="s">
        <v>3101</v>
      </c>
      <c r="H88" s="1" t="s">
        <v>2195</v>
      </c>
      <c r="I88" s="1" t="s">
        <v>2195</v>
      </c>
      <c r="J88" s="1" t="s">
        <v>2208</v>
      </c>
      <c r="K88" s="108" t="str">
        <f>IF(AND($A88=Dashboard!$B$8,$C88='Calc Engine'!$B$5),$E88,"")</f>
        <v/>
      </c>
      <c r="L88" s="108">
        <f>IF(NOT(ISNUMBER(Dashboard!$B$11)),999,IF(OR(Dashboard!$B$11&lt;=0,$E88=""),999,ABS($E88-Dashboard!$B$11)))</f>
        <v>0.46500000000000008</v>
      </c>
      <c r="M88" s="108" t="str">
        <f>IF(NOT(ISNUMBER(Dashboard!$B$11)),"",IF(AND(Dashboard!$B$11&gt;0,$L88=MIN($L$2:$L$300)),"Closest overall reference",""))</f>
        <v/>
      </c>
      <c r="N88" s="108">
        <f>IF(NOT(ISNUMBER(Dashboard!$B$11)),999,IF(AND(Dashboard!$B$11&gt;0,$A88=Dashboard!$B$8,$E88&lt;&gt;""),ABS($E88-Dashboard!$B$11),999))</f>
        <v>999</v>
      </c>
      <c r="O88" s="108" t="str">
        <f>IF(NOT(ISNUMBER(Dashboard!$B$11)),"",IF(AND(Dashboard!$B$11&gt;0,$N88=MIN($N$2:$N$300)),"Closest same-material reference",""))</f>
        <v/>
      </c>
      <c r="P88" s="108" t="str">
        <f>IF(AND($A88=Dashboard!$B$8,$C88='Calc Engine'!$B$5,$E88&lt;&gt;""),$E88,"")</f>
        <v/>
      </c>
      <c r="Q88" s="108">
        <f>IF(NOT(ISNUMBER(Dashboard!$B$11)),-999,IF(AND($P88&lt;&gt;"",Dashboard!$B$11&gt;0,$P88&lt;=Dashboard!$B$11),$P88,-999))</f>
        <v>-999</v>
      </c>
      <c r="R88" s="108">
        <f>IF(NOT(ISNUMBER(Dashboard!$B$11)),999,IF(AND($P88&lt;&gt;"",Dashboard!$B$11&gt;0,$P88&gt;=Dashboard!$B$11),$P88,999))</f>
        <v>999</v>
      </c>
      <c r="S88" s="108" t="str">
        <f t="shared" si="1"/>
        <v/>
      </c>
    </row>
    <row r="89" spans="1:19" ht="27.4" customHeight="1">
      <c r="A89" s="1" t="s">
        <v>2146</v>
      </c>
      <c r="B89" s="1" t="s">
        <v>2181</v>
      </c>
      <c r="C89" s="1">
        <v>2000</v>
      </c>
      <c r="D89" s="1">
        <v>12.5</v>
      </c>
      <c r="E89" s="1">
        <v>0.89100000000000001</v>
      </c>
      <c r="F89" s="1" t="s">
        <v>3010</v>
      </c>
      <c r="G89" s="1" t="s">
        <v>3102</v>
      </c>
      <c r="H89" s="1" t="s">
        <v>2195</v>
      </c>
      <c r="I89" s="1" t="s">
        <v>2195</v>
      </c>
      <c r="J89" s="1" t="s">
        <v>2208</v>
      </c>
      <c r="K89" s="108" t="str">
        <f>IF(AND($A89=Dashboard!$B$8,$C89='Calc Engine'!$B$5),$E89,"")</f>
        <v/>
      </c>
      <c r="L89" s="108">
        <f>IF(NOT(ISNUMBER(Dashboard!$B$11)),999,IF(OR(Dashboard!$B$11&lt;=0,$E89=""),999,ABS($E89-Dashboard!$B$11)))</f>
        <v>0.45900000000000007</v>
      </c>
      <c r="M89" s="108" t="str">
        <f>IF(NOT(ISNUMBER(Dashboard!$B$11)),"",IF(AND(Dashboard!$B$11&gt;0,$L89=MIN($L$2:$L$300)),"Closest overall reference",""))</f>
        <v/>
      </c>
      <c r="N89" s="108">
        <f>IF(NOT(ISNUMBER(Dashboard!$B$11)),999,IF(AND(Dashboard!$B$11&gt;0,$A89=Dashboard!$B$8,$E89&lt;&gt;""),ABS($E89-Dashboard!$B$11),999))</f>
        <v>999</v>
      </c>
      <c r="O89" s="108" t="str">
        <f>IF(NOT(ISNUMBER(Dashboard!$B$11)),"",IF(AND(Dashboard!$B$11&gt;0,$N89=MIN($N$2:$N$300)),"Closest same-material reference",""))</f>
        <v/>
      </c>
      <c r="P89" s="108" t="str">
        <f>IF(AND($A89=Dashboard!$B$8,$C89='Calc Engine'!$B$5,$E89&lt;&gt;""),$E89,"")</f>
        <v/>
      </c>
      <c r="Q89" s="108">
        <f>IF(NOT(ISNUMBER(Dashboard!$B$11)),-999,IF(AND($P89&lt;&gt;"",Dashboard!$B$11&gt;0,$P89&lt;=Dashboard!$B$11),$P89,-999))</f>
        <v>-999</v>
      </c>
      <c r="R89" s="108">
        <f>IF(NOT(ISNUMBER(Dashboard!$B$11)),999,IF(AND($P89&lt;&gt;"",Dashboard!$B$11&gt;0,$P89&gt;=Dashboard!$B$11),$P89,999))</f>
        <v>999</v>
      </c>
      <c r="S89" s="108" t="str">
        <f t="shared" si="1"/>
        <v/>
      </c>
    </row>
    <row r="90" spans="1:19" ht="41.1" customHeight="1">
      <c r="A90" s="1" t="s">
        <v>2146</v>
      </c>
      <c r="B90" s="1" t="s">
        <v>3012</v>
      </c>
      <c r="C90" s="1">
        <v>2000</v>
      </c>
      <c r="D90" s="1">
        <v>12.5</v>
      </c>
      <c r="E90" s="1">
        <v>0.89100000000000001</v>
      </c>
      <c r="F90" s="1" t="s">
        <v>3013</v>
      </c>
      <c r="G90" s="1" t="s">
        <v>3103</v>
      </c>
      <c r="H90" s="1" t="s">
        <v>2195</v>
      </c>
      <c r="I90" s="1" t="s">
        <v>2195</v>
      </c>
      <c r="J90" s="1" t="s">
        <v>2208</v>
      </c>
      <c r="K90" s="108" t="str">
        <f>IF(AND($A90=Dashboard!$B$8,$C90='Calc Engine'!$B$5),$E90,"")</f>
        <v/>
      </c>
      <c r="L90" s="108">
        <f>IF(NOT(ISNUMBER(Dashboard!$B$11)),999,IF(OR(Dashboard!$B$11&lt;=0,$E90=""),999,ABS($E90-Dashboard!$B$11)))</f>
        <v>0.45900000000000007</v>
      </c>
      <c r="M90" s="108" t="str">
        <f>IF(NOT(ISNUMBER(Dashboard!$B$11)),"",IF(AND(Dashboard!$B$11&gt;0,$L90=MIN($L$2:$L$300)),"Closest overall reference",""))</f>
        <v/>
      </c>
      <c r="N90" s="108">
        <f>IF(NOT(ISNUMBER(Dashboard!$B$11)),999,IF(AND(Dashboard!$B$11&gt;0,$A90=Dashboard!$B$8,$E90&lt;&gt;""),ABS($E90-Dashboard!$B$11),999))</f>
        <v>999</v>
      </c>
      <c r="O90" s="108" t="str">
        <f>IF(NOT(ISNUMBER(Dashboard!$B$11)),"",IF(AND(Dashboard!$B$11&gt;0,$N90=MIN($N$2:$N$300)),"Closest same-material reference",""))</f>
        <v/>
      </c>
      <c r="P90" s="108" t="str">
        <f>IF(AND($A90=Dashboard!$B$8,$C90='Calc Engine'!$B$5,$E90&lt;&gt;""),$E90,"")</f>
        <v/>
      </c>
      <c r="Q90" s="108">
        <f>IF(NOT(ISNUMBER(Dashboard!$B$11)),-999,IF(AND($P90&lt;&gt;"",Dashboard!$B$11&gt;0,$P90&lt;=Dashboard!$B$11),$P90,-999))</f>
        <v>-999</v>
      </c>
      <c r="R90" s="108">
        <f>IF(NOT(ISNUMBER(Dashboard!$B$11)),999,IF(AND($P90&lt;&gt;"",Dashboard!$B$11&gt;0,$P90&gt;=Dashboard!$B$11),$P90,999))</f>
        <v>999</v>
      </c>
      <c r="S90" s="108" t="str">
        <f t="shared" si="1"/>
        <v/>
      </c>
    </row>
    <row r="91" spans="1:19" ht="54.75" customHeight="1">
      <c r="A91" s="1" t="s">
        <v>2146</v>
      </c>
      <c r="B91" s="1" t="s">
        <v>3015</v>
      </c>
      <c r="C91" s="1">
        <v>2000</v>
      </c>
      <c r="D91" s="1">
        <v>12.5</v>
      </c>
      <c r="E91" s="1">
        <v>0.89100000000000001</v>
      </c>
      <c r="F91" s="1" t="s">
        <v>3016</v>
      </c>
      <c r="G91" s="1" t="s">
        <v>3104</v>
      </c>
      <c r="H91" s="1" t="s">
        <v>2195</v>
      </c>
      <c r="I91" s="1" t="s">
        <v>2195</v>
      </c>
      <c r="J91" s="1" t="s">
        <v>2208</v>
      </c>
      <c r="K91" s="108" t="str">
        <f>IF(AND($A91=Dashboard!$B$8,$C91='Calc Engine'!$B$5),$E91,"")</f>
        <v/>
      </c>
      <c r="L91" s="108">
        <f>IF(NOT(ISNUMBER(Dashboard!$B$11)),999,IF(OR(Dashboard!$B$11&lt;=0,$E91=""),999,ABS($E91-Dashboard!$B$11)))</f>
        <v>0.45900000000000007</v>
      </c>
      <c r="M91" s="108" t="str">
        <f>IF(NOT(ISNUMBER(Dashboard!$B$11)),"",IF(AND(Dashboard!$B$11&gt;0,$L91=MIN($L$2:$L$300)),"Closest overall reference",""))</f>
        <v/>
      </c>
      <c r="N91" s="108">
        <f>IF(NOT(ISNUMBER(Dashboard!$B$11)),999,IF(AND(Dashboard!$B$11&gt;0,$A91=Dashboard!$B$8,$E91&lt;&gt;""),ABS($E91-Dashboard!$B$11),999))</f>
        <v>999</v>
      </c>
      <c r="O91" s="108" t="str">
        <f>IF(NOT(ISNUMBER(Dashboard!$B$11)),"",IF(AND(Dashboard!$B$11&gt;0,$N91=MIN($N$2:$N$300)),"Closest same-material reference",""))</f>
        <v/>
      </c>
      <c r="P91" s="108" t="str">
        <f>IF(AND($A91=Dashboard!$B$8,$C91='Calc Engine'!$B$5,$E91&lt;&gt;""),$E91,"")</f>
        <v/>
      </c>
      <c r="Q91" s="108">
        <f>IF(NOT(ISNUMBER(Dashboard!$B$11)),-999,IF(AND($P91&lt;&gt;"",Dashboard!$B$11&gt;0,$P91&lt;=Dashboard!$B$11),$P91,-999))</f>
        <v>-999</v>
      </c>
      <c r="R91" s="108">
        <f>IF(NOT(ISNUMBER(Dashboard!$B$11)),999,IF(AND($P91&lt;&gt;"",Dashboard!$B$11&gt;0,$P91&gt;=Dashboard!$B$11),$P91,999))</f>
        <v>999</v>
      </c>
      <c r="S91" s="108" t="str">
        <f t="shared" si="1"/>
        <v/>
      </c>
    </row>
    <row r="92" spans="1:19" ht="27.4" customHeight="1">
      <c r="A92" s="1" t="s">
        <v>2146</v>
      </c>
      <c r="B92" s="1" t="s">
        <v>2181</v>
      </c>
      <c r="C92" s="1">
        <v>2200</v>
      </c>
      <c r="D92" s="1">
        <v>14.2</v>
      </c>
      <c r="E92" s="1">
        <v>0.9</v>
      </c>
      <c r="F92" s="1" t="s">
        <v>3010</v>
      </c>
      <c r="G92" s="1" t="s">
        <v>3105</v>
      </c>
      <c r="H92" s="1" t="s">
        <v>2195</v>
      </c>
      <c r="I92" s="1" t="s">
        <v>2195</v>
      </c>
      <c r="J92" s="1" t="s">
        <v>2208</v>
      </c>
      <c r="K92" s="108" t="str">
        <f>IF(AND($A92=Dashboard!$B$8,$C92='Calc Engine'!$B$5),$E92,"")</f>
        <v/>
      </c>
      <c r="L92" s="108">
        <f>IF(NOT(ISNUMBER(Dashboard!$B$11)),999,IF(OR(Dashboard!$B$11&lt;=0,$E92=""),999,ABS($E92-Dashboard!$B$11)))</f>
        <v>0.45000000000000007</v>
      </c>
      <c r="M92" s="108" t="str">
        <f>IF(NOT(ISNUMBER(Dashboard!$B$11)),"",IF(AND(Dashboard!$B$11&gt;0,$L92=MIN($L$2:$L$300)),"Closest overall reference",""))</f>
        <v/>
      </c>
      <c r="N92" s="108">
        <f>IF(NOT(ISNUMBER(Dashboard!$B$11)),999,IF(AND(Dashboard!$B$11&gt;0,$A92=Dashboard!$B$8,$E92&lt;&gt;""),ABS($E92-Dashboard!$B$11),999))</f>
        <v>999</v>
      </c>
      <c r="O92" s="108" t="str">
        <f>IF(NOT(ISNUMBER(Dashboard!$B$11)),"",IF(AND(Dashboard!$B$11&gt;0,$N92=MIN($N$2:$N$300)),"Closest same-material reference",""))</f>
        <v/>
      </c>
      <c r="P92" s="108" t="str">
        <f>IF(AND($A92=Dashboard!$B$8,$C92='Calc Engine'!$B$5,$E92&lt;&gt;""),$E92,"")</f>
        <v/>
      </c>
      <c r="Q92" s="108">
        <f>IF(NOT(ISNUMBER(Dashboard!$B$11)),-999,IF(AND($P92&lt;&gt;"",Dashboard!$B$11&gt;0,$P92&lt;=Dashboard!$B$11),$P92,-999))</f>
        <v>-999</v>
      </c>
      <c r="R92" s="108">
        <f>IF(NOT(ISNUMBER(Dashboard!$B$11)),999,IF(AND($P92&lt;&gt;"",Dashboard!$B$11&gt;0,$P92&gt;=Dashboard!$B$11),$P92,999))</f>
        <v>999</v>
      </c>
      <c r="S92" s="108" t="str">
        <f t="shared" si="1"/>
        <v/>
      </c>
    </row>
    <row r="93" spans="1:19" ht="41.1" customHeight="1">
      <c r="A93" s="1" t="s">
        <v>2146</v>
      </c>
      <c r="B93" s="1" t="s">
        <v>3012</v>
      </c>
      <c r="C93" s="1">
        <v>2200</v>
      </c>
      <c r="D93" s="1">
        <v>14.2</v>
      </c>
      <c r="E93" s="1">
        <v>0.9</v>
      </c>
      <c r="F93" s="1" t="s">
        <v>3013</v>
      </c>
      <c r="G93" s="1" t="s">
        <v>3106</v>
      </c>
      <c r="H93" s="1" t="s">
        <v>2195</v>
      </c>
      <c r="I93" s="1" t="s">
        <v>2195</v>
      </c>
      <c r="J93" s="1" t="s">
        <v>2208</v>
      </c>
      <c r="K93" s="108" t="str">
        <f>IF(AND($A93=Dashboard!$B$8,$C93='Calc Engine'!$B$5),$E93,"")</f>
        <v/>
      </c>
      <c r="L93" s="108">
        <f>IF(NOT(ISNUMBER(Dashboard!$B$11)),999,IF(OR(Dashboard!$B$11&lt;=0,$E93=""),999,ABS($E93-Dashboard!$B$11)))</f>
        <v>0.45000000000000007</v>
      </c>
      <c r="M93" s="108" t="str">
        <f>IF(NOT(ISNUMBER(Dashboard!$B$11)),"",IF(AND(Dashboard!$B$11&gt;0,$L93=MIN($L$2:$L$300)),"Closest overall reference",""))</f>
        <v/>
      </c>
      <c r="N93" s="108">
        <f>IF(NOT(ISNUMBER(Dashboard!$B$11)),999,IF(AND(Dashboard!$B$11&gt;0,$A93=Dashboard!$B$8,$E93&lt;&gt;""),ABS($E93-Dashboard!$B$11),999))</f>
        <v>999</v>
      </c>
      <c r="O93" s="108" t="str">
        <f>IF(NOT(ISNUMBER(Dashboard!$B$11)),"",IF(AND(Dashboard!$B$11&gt;0,$N93=MIN($N$2:$N$300)),"Closest same-material reference",""))</f>
        <v/>
      </c>
      <c r="P93" s="108" t="str">
        <f>IF(AND($A93=Dashboard!$B$8,$C93='Calc Engine'!$B$5,$E93&lt;&gt;""),$E93,"")</f>
        <v/>
      </c>
      <c r="Q93" s="108">
        <f>IF(NOT(ISNUMBER(Dashboard!$B$11)),-999,IF(AND($P93&lt;&gt;"",Dashboard!$B$11&gt;0,$P93&lt;=Dashboard!$B$11),$P93,-999))</f>
        <v>-999</v>
      </c>
      <c r="R93" s="108">
        <f>IF(NOT(ISNUMBER(Dashboard!$B$11)),999,IF(AND($P93&lt;&gt;"",Dashboard!$B$11&gt;0,$P93&gt;=Dashboard!$B$11),$P93,999))</f>
        <v>999</v>
      </c>
      <c r="S93" s="108" t="str">
        <f t="shared" si="1"/>
        <v/>
      </c>
    </row>
    <row r="94" spans="1:19" ht="54.75" customHeight="1">
      <c r="A94" s="1" t="s">
        <v>2146</v>
      </c>
      <c r="B94" s="1" t="s">
        <v>3015</v>
      </c>
      <c r="C94" s="1">
        <v>2200</v>
      </c>
      <c r="D94" s="1">
        <v>14.2</v>
      </c>
      <c r="E94" s="1">
        <v>0.9</v>
      </c>
      <c r="F94" s="1" t="s">
        <v>3016</v>
      </c>
      <c r="G94" s="1" t="s">
        <v>3107</v>
      </c>
      <c r="H94" s="1" t="s">
        <v>2195</v>
      </c>
      <c r="I94" s="1" t="s">
        <v>2195</v>
      </c>
      <c r="J94" s="1" t="s">
        <v>2208</v>
      </c>
      <c r="K94" s="108" t="str">
        <f>IF(AND($A94=Dashboard!$B$8,$C94='Calc Engine'!$B$5),$E94,"")</f>
        <v/>
      </c>
      <c r="L94" s="108">
        <f>IF(NOT(ISNUMBER(Dashboard!$B$11)),999,IF(OR(Dashboard!$B$11&lt;=0,$E94=""),999,ABS($E94-Dashboard!$B$11)))</f>
        <v>0.45000000000000007</v>
      </c>
      <c r="M94" s="108" t="str">
        <f>IF(NOT(ISNUMBER(Dashboard!$B$11)),"",IF(AND(Dashboard!$B$11&gt;0,$L94=MIN($L$2:$L$300)),"Closest overall reference",""))</f>
        <v/>
      </c>
      <c r="N94" s="108">
        <f>IF(NOT(ISNUMBER(Dashboard!$B$11)),999,IF(AND(Dashboard!$B$11&gt;0,$A94=Dashboard!$B$8,$E94&lt;&gt;""),ABS($E94-Dashboard!$B$11),999))</f>
        <v>999</v>
      </c>
      <c r="O94" s="108" t="str">
        <f>IF(NOT(ISNUMBER(Dashboard!$B$11)),"",IF(AND(Dashboard!$B$11&gt;0,$N94=MIN($N$2:$N$300)),"Closest same-material reference",""))</f>
        <v/>
      </c>
      <c r="P94" s="108" t="str">
        <f>IF(AND($A94=Dashboard!$B$8,$C94='Calc Engine'!$B$5,$E94&lt;&gt;""),$E94,"")</f>
        <v/>
      </c>
      <c r="Q94" s="108">
        <f>IF(NOT(ISNUMBER(Dashboard!$B$11)),-999,IF(AND($P94&lt;&gt;"",Dashboard!$B$11&gt;0,$P94&lt;=Dashboard!$B$11),$P94,-999))</f>
        <v>-999</v>
      </c>
      <c r="R94" s="108">
        <f>IF(NOT(ISNUMBER(Dashboard!$B$11)),999,IF(AND($P94&lt;&gt;"",Dashboard!$B$11&gt;0,$P94&gt;=Dashboard!$B$11),$P94,999))</f>
        <v>999</v>
      </c>
      <c r="S94" s="108" t="str">
        <f t="shared" si="1"/>
        <v/>
      </c>
    </row>
    <row r="95" spans="1:19" ht="27.4" customHeight="1">
      <c r="A95" s="1" t="s">
        <v>927</v>
      </c>
      <c r="B95" s="1" t="s">
        <v>2181</v>
      </c>
      <c r="C95" s="1">
        <v>4</v>
      </c>
      <c r="D95" s="1">
        <v>0.8</v>
      </c>
      <c r="E95" s="1">
        <v>1.373</v>
      </c>
      <c r="F95" s="1" t="s">
        <v>3010</v>
      </c>
      <c r="G95" s="1" t="s">
        <v>3108</v>
      </c>
      <c r="H95" s="1" t="s">
        <v>2195</v>
      </c>
      <c r="I95" s="1" t="s">
        <v>2195</v>
      </c>
      <c r="J95" s="1" t="s">
        <v>2208</v>
      </c>
      <c r="K95" s="108" t="str">
        <f>IF(AND($A95=Dashboard!$B$8,$C95='Calc Engine'!$B$5),$E95,"")</f>
        <v/>
      </c>
      <c r="L95" s="108">
        <f>IF(NOT(ISNUMBER(Dashboard!$B$11)),999,IF(OR(Dashboard!$B$11&lt;=0,$E95=""),999,ABS($E95-Dashboard!$B$11)))</f>
        <v>2.2999999999999909E-2</v>
      </c>
      <c r="M95" s="108" t="str">
        <f>IF(NOT(ISNUMBER(Dashboard!$B$11)),"",IF(AND(Dashboard!$B$11&gt;0,$L95=MIN($L$2:$L$300)),"Closest overall reference",""))</f>
        <v/>
      </c>
      <c r="N95" s="108">
        <f>IF(NOT(ISNUMBER(Dashboard!$B$11)),999,IF(AND(Dashboard!$B$11&gt;0,$A95=Dashboard!$B$8,$E95&lt;&gt;""),ABS($E95-Dashboard!$B$11),999))</f>
        <v>999</v>
      </c>
      <c r="O95" s="108" t="str">
        <f>IF(NOT(ISNUMBER(Dashboard!$B$11)),"",IF(AND(Dashboard!$B$11&gt;0,$N95=MIN($N$2:$N$300)),"Closest same-material reference",""))</f>
        <v/>
      </c>
      <c r="P95" s="108" t="str">
        <f>IF(AND($A95=Dashboard!$B$8,$C95='Calc Engine'!$B$5,$E95&lt;&gt;""),$E95,"")</f>
        <v/>
      </c>
      <c r="Q95" s="108">
        <f>IF(NOT(ISNUMBER(Dashboard!$B$11)),-999,IF(AND($P95&lt;&gt;"",Dashboard!$B$11&gt;0,$P95&lt;=Dashboard!$B$11),$P95,-999))</f>
        <v>-999</v>
      </c>
      <c r="R95" s="108">
        <f>IF(NOT(ISNUMBER(Dashboard!$B$11)),999,IF(AND($P95&lt;&gt;"",Dashboard!$B$11&gt;0,$P95&gt;=Dashboard!$B$11),$P95,999))</f>
        <v>999</v>
      </c>
      <c r="S95" s="108" t="str">
        <f t="shared" si="1"/>
        <v/>
      </c>
    </row>
    <row r="96" spans="1:19" ht="41.1" customHeight="1">
      <c r="A96" s="1" t="s">
        <v>927</v>
      </c>
      <c r="B96" s="1" t="s">
        <v>3012</v>
      </c>
      <c r="C96" s="1">
        <v>4</v>
      </c>
      <c r="D96" s="1">
        <v>0.8</v>
      </c>
      <c r="E96" s="1">
        <v>1.373</v>
      </c>
      <c r="F96" s="1" t="s">
        <v>3013</v>
      </c>
      <c r="G96" s="1" t="s">
        <v>3109</v>
      </c>
      <c r="H96" s="1" t="s">
        <v>2195</v>
      </c>
      <c r="I96" s="1" t="s">
        <v>2195</v>
      </c>
      <c r="J96" s="1" t="s">
        <v>2208</v>
      </c>
      <c r="K96" s="108" t="str">
        <f>IF(AND($A96=Dashboard!$B$8,$C96='Calc Engine'!$B$5),$E96,"")</f>
        <v/>
      </c>
      <c r="L96" s="108">
        <f>IF(NOT(ISNUMBER(Dashboard!$B$11)),999,IF(OR(Dashboard!$B$11&lt;=0,$E96=""),999,ABS($E96-Dashboard!$B$11)))</f>
        <v>2.2999999999999909E-2</v>
      </c>
      <c r="M96" s="108" t="str">
        <f>IF(NOT(ISNUMBER(Dashboard!$B$11)),"",IF(AND(Dashboard!$B$11&gt;0,$L96=MIN($L$2:$L$300)),"Closest overall reference",""))</f>
        <v/>
      </c>
      <c r="N96" s="108">
        <f>IF(NOT(ISNUMBER(Dashboard!$B$11)),999,IF(AND(Dashboard!$B$11&gt;0,$A96=Dashboard!$B$8,$E96&lt;&gt;""),ABS($E96-Dashboard!$B$11),999))</f>
        <v>999</v>
      </c>
      <c r="O96" s="108" t="str">
        <f>IF(NOT(ISNUMBER(Dashboard!$B$11)),"",IF(AND(Dashboard!$B$11&gt;0,$N96=MIN($N$2:$N$300)),"Closest same-material reference",""))</f>
        <v/>
      </c>
      <c r="P96" s="108" t="str">
        <f>IF(AND($A96=Dashboard!$B$8,$C96='Calc Engine'!$B$5,$E96&lt;&gt;""),$E96,"")</f>
        <v/>
      </c>
      <c r="Q96" s="108">
        <f>IF(NOT(ISNUMBER(Dashboard!$B$11)),-999,IF(AND($P96&lt;&gt;"",Dashboard!$B$11&gt;0,$P96&lt;=Dashboard!$B$11),$P96,-999))</f>
        <v>-999</v>
      </c>
      <c r="R96" s="108">
        <f>IF(NOT(ISNUMBER(Dashboard!$B$11)),999,IF(AND($P96&lt;&gt;"",Dashboard!$B$11&gt;0,$P96&gt;=Dashboard!$B$11),$P96,999))</f>
        <v>999</v>
      </c>
      <c r="S96" s="108" t="str">
        <f t="shared" si="1"/>
        <v/>
      </c>
    </row>
    <row r="97" spans="1:19" ht="54.75" customHeight="1">
      <c r="A97" s="1" t="s">
        <v>927</v>
      </c>
      <c r="B97" s="1" t="s">
        <v>3015</v>
      </c>
      <c r="C97" s="1">
        <v>4</v>
      </c>
      <c r="D97" s="1">
        <v>0.8</v>
      </c>
      <c r="E97" s="1">
        <v>1.373</v>
      </c>
      <c r="F97" s="1" t="s">
        <v>3016</v>
      </c>
      <c r="G97" s="1" t="s">
        <v>3110</v>
      </c>
      <c r="H97" s="1" t="s">
        <v>2195</v>
      </c>
      <c r="I97" s="1" t="s">
        <v>2195</v>
      </c>
      <c r="J97" s="1" t="s">
        <v>2208</v>
      </c>
      <c r="K97" s="108" t="str">
        <f>IF(AND($A97=Dashboard!$B$8,$C97='Calc Engine'!$B$5),$E97,"")</f>
        <v/>
      </c>
      <c r="L97" s="108">
        <f>IF(NOT(ISNUMBER(Dashboard!$B$11)),999,IF(OR(Dashboard!$B$11&lt;=0,$E97=""),999,ABS($E97-Dashboard!$B$11)))</f>
        <v>2.2999999999999909E-2</v>
      </c>
      <c r="M97" s="108" t="str">
        <f>IF(NOT(ISNUMBER(Dashboard!$B$11)),"",IF(AND(Dashboard!$B$11&gt;0,$L97=MIN($L$2:$L$300)),"Closest overall reference",""))</f>
        <v/>
      </c>
      <c r="N97" s="108">
        <f>IF(NOT(ISNUMBER(Dashboard!$B$11)),999,IF(AND(Dashboard!$B$11&gt;0,$A97=Dashboard!$B$8,$E97&lt;&gt;""),ABS($E97-Dashboard!$B$11),999))</f>
        <v>999</v>
      </c>
      <c r="O97" s="108" t="str">
        <f>IF(NOT(ISNUMBER(Dashboard!$B$11)),"",IF(AND(Dashboard!$B$11&gt;0,$N97=MIN($N$2:$N$300)),"Closest same-material reference",""))</f>
        <v/>
      </c>
      <c r="P97" s="108" t="str">
        <f>IF(AND($A97=Dashboard!$B$8,$C97='Calc Engine'!$B$5,$E97&lt;&gt;""),$E97,"")</f>
        <v/>
      </c>
      <c r="Q97" s="108">
        <f>IF(NOT(ISNUMBER(Dashboard!$B$11)),-999,IF(AND($P97&lt;&gt;"",Dashboard!$B$11&gt;0,$P97&lt;=Dashboard!$B$11),$P97,-999))</f>
        <v>-999</v>
      </c>
      <c r="R97" s="108">
        <f>IF(NOT(ISNUMBER(Dashboard!$B$11)),999,IF(AND($P97&lt;&gt;"",Dashboard!$B$11&gt;0,$P97&gt;=Dashboard!$B$11),$P97,999))</f>
        <v>999</v>
      </c>
      <c r="S97" s="108" t="str">
        <f t="shared" si="1"/>
        <v/>
      </c>
    </row>
    <row r="98" spans="1:19" ht="41.1" customHeight="1">
      <c r="A98" s="1" t="s">
        <v>927</v>
      </c>
      <c r="B98" s="1" t="s">
        <v>2181</v>
      </c>
      <c r="C98" s="1">
        <v>6</v>
      </c>
      <c r="D98" s="1">
        <v>0.8</v>
      </c>
      <c r="E98" s="1">
        <v>1.3540000000000001</v>
      </c>
      <c r="F98" s="1" t="s">
        <v>3010</v>
      </c>
      <c r="G98" s="1" t="s">
        <v>3111</v>
      </c>
      <c r="H98" s="1" t="s">
        <v>2195</v>
      </c>
      <c r="I98" s="1" t="s">
        <v>2195</v>
      </c>
      <c r="J98" s="1" t="s">
        <v>2208</v>
      </c>
      <c r="K98" s="108" t="str">
        <f>IF(AND($A98=Dashboard!$B$8,$C98='Calc Engine'!$B$5),$E98,"")</f>
        <v/>
      </c>
      <c r="L98" s="108">
        <f>IF(NOT(ISNUMBER(Dashboard!$B$11)),999,IF(OR(Dashboard!$B$11&lt;=0,$E98=""),999,ABS($E98-Dashboard!$B$11)))</f>
        <v>4.0000000000000036E-3</v>
      </c>
      <c r="M98" s="108" t="str">
        <f>IF(NOT(ISNUMBER(Dashboard!$B$11)),"",IF(AND(Dashboard!$B$11&gt;0,$L98=MIN($L$2:$L$300)),"Closest overall reference",""))</f>
        <v>Closest overall reference</v>
      </c>
      <c r="N98" s="108">
        <f>IF(NOT(ISNUMBER(Dashboard!$B$11)),999,IF(AND(Dashboard!$B$11&gt;0,$A98=Dashboard!$B$8,$E98&lt;&gt;""),ABS($E98-Dashboard!$B$11),999))</f>
        <v>999</v>
      </c>
      <c r="O98" s="108" t="str">
        <f>IF(NOT(ISNUMBER(Dashboard!$B$11)),"",IF(AND(Dashboard!$B$11&gt;0,$N98=MIN($N$2:$N$300)),"Closest same-material reference",""))</f>
        <v/>
      </c>
      <c r="P98" s="108" t="str">
        <f>IF(AND($A98=Dashboard!$B$8,$C98='Calc Engine'!$B$5,$E98&lt;&gt;""),$E98,"")</f>
        <v/>
      </c>
      <c r="Q98" s="108">
        <f>IF(NOT(ISNUMBER(Dashboard!$B$11)),-999,IF(AND($P98&lt;&gt;"",Dashboard!$B$11&gt;0,$P98&lt;=Dashboard!$B$11),$P98,-999))</f>
        <v>-999</v>
      </c>
      <c r="R98" s="108">
        <f>IF(NOT(ISNUMBER(Dashboard!$B$11)),999,IF(AND($P98&lt;&gt;"",Dashboard!$B$11&gt;0,$P98&gt;=Dashboard!$B$11),$P98,999))</f>
        <v>999</v>
      </c>
      <c r="S98" s="108" t="str">
        <f t="shared" si="1"/>
        <v/>
      </c>
    </row>
    <row r="99" spans="1:19" ht="41.1" customHeight="1">
      <c r="A99" s="1" t="s">
        <v>927</v>
      </c>
      <c r="B99" s="1" t="s">
        <v>3012</v>
      </c>
      <c r="C99" s="1">
        <v>6</v>
      </c>
      <c r="D99" s="1">
        <v>0.8</v>
      </c>
      <c r="E99" s="1">
        <v>1.3540000000000001</v>
      </c>
      <c r="F99" s="1" t="s">
        <v>3013</v>
      </c>
      <c r="G99" s="1" t="s">
        <v>3112</v>
      </c>
      <c r="H99" s="1" t="s">
        <v>2195</v>
      </c>
      <c r="I99" s="1" t="s">
        <v>2195</v>
      </c>
      <c r="J99" s="1" t="s">
        <v>2208</v>
      </c>
      <c r="K99" s="108" t="str">
        <f>IF(AND($A99=Dashboard!$B$8,$C99='Calc Engine'!$B$5),$E99,"")</f>
        <v/>
      </c>
      <c r="L99" s="108">
        <f>IF(NOT(ISNUMBER(Dashboard!$B$11)),999,IF(OR(Dashboard!$B$11&lt;=0,$E99=""),999,ABS($E99-Dashboard!$B$11)))</f>
        <v>4.0000000000000036E-3</v>
      </c>
      <c r="M99" s="108" t="str">
        <f>IF(NOT(ISNUMBER(Dashboard!$B$11)),"",IF(AND(Dashboard!$B$11&gt;0,$L99=MIN($L$2:$L$300)),"Closest overall reference",""))</f>
        <v>Closest overall reference</v>
      </c>
      <c r="N99" s="108">
        <f>IF(NOT(ISNUMBER(Dashboard!$B$11)),999,IF(AND(Dashboard!$B$11&gt;0,$A99=Dashboard!$B$8,$E99&lt;&gt;""),ABS($E99-Dashboard!$B$11),999))</f>
        <v>999</v>
      </c>
      <c r="O99" s="108" t="str">
        <f>IF(NOT(ISNUMBER(Dashboard!$B$11)),"",IF(AND(Dashboard!$B$11&gt;0,$N99=MIN($N$2:$N$300)),"Closest same-material reference",""))</f>
        <v/>
      </c>
      <c r="P99" s="108" t="str">
        <f>IF(AND($A99=Dashboard!$B$8,$C99='Calc Engine'!$B$5,$E99&lt;&gt;""),$E99,"")</f>
        <v/>
      </c>
      <c r="Q99" s="108">
        <f>IF(NOT(ISNUMBER(Dashboard!$B$11)),-999,IF(AND($P99&lt;&gt;"",Dashboard!$B$11&gt;0,$P99&lt;=Dashboard!$B$11),$P99,-999))</f>
        <v>-999</v>
      </c>
      <c r="R99" s="108">
        <f>IF(NOT(ISNUMBER(Dashboard!$B$11)),999,IF(AND($P99&lt;&gt;"",Dashboard!$B$11&gt;0,$P99&gt;=Dashboard!$B$11),$P99,999))</f>
        <v>999</v>
      </c>
      <c r="S99" s="108" t="str">
        <f t="shared" si="1"/>
        <v/>
      </c>
    </row>
    <row r="100" spans="1:19" ht="54.75" customHeight="1">
      <c r="A100" s="1" t="s">
        <v>927</v>
      </c>
      <c r="B100" s="1" t="s">
        <v>3015</v>
      </c>
      <c r="C100" s="1">
        <v>6</v>
      </c>
      <c r="D100" s="1">
        <v>0.8</v>
      </c>
      <c r="E100" s="1">
        <v>1.3540000000000001</v>
      </c>
      <c r="F100" s="1" t="s">
        <v>3016</v>
      </c>
      <c r="G100" s="1" t="s">
        <v>3113</v>
      </c>
      <c r="H100" s="1" t="s">
        <v>2195</v>
      </c>
      <c r="I100" s="1" t="s">
        <v>2195</v>
      </c>
      <c r="J100" s="1" t="s">
        <v>2208</v>
      </c>
      <c r="K100" s="108" t="str">
        <f>IF(AND($A100=Dashboard!$B$8,$C100='Calc Engine'!$B$5),$E100,"")</f>
        <v/>
      </c>
      <c r="L100" s="108">
        <f>IF(NOT(ISNUMBER(Dashboard!$B$11)),999,IF(OR(Dashboard!$B$11&lt;=0,$E100=""),999,ABS($E100-Dashboard!$B$11)))</f>
        <v>4.0000000000000036E-3</v>
      </c>
      <c r="M100" s="108" t="str">
        <f>IF(NOT(ISNUMBER(Dashboard!$B$11)),"",IF(AND(Dashboard!$B$11&gt;0,$L100=MIN($L$2:$L$300)),"Closest overall reference",""))</f>
        <v>Closest overall reference</v>
      </c>
      <c r="N100" s="108">
        <f>IF(NOT(ISNUMBER(Dashboard!$B$11)),999,IF(AND(Dashboard!$B$11&gt;0,$A100=Dashboard!$B$8,$E100&lt;&gt;""),ABS($E100-Dashboard!$B$11),999))</f>
        <v>999</v>
      </c>
      <c r="O100" s="108" t="str">
        <f>IF(NOT(ISNUMBER(Dashboard!$B$11)),"",IF(AND(Dashboard!$B$11&gt;0,$N100=MIN($N$2:$N$300)),"Closest same-material reference",""))</f>
        <v/>
      </c>
      <c r="P100" s="108" t="str">
        <f>IF(AND($A100=Dashboard!$B$8,$C100='Calc Engine'!$B$5,$E100&lt;&gt;""),$E100,"")</f>
        <v/>
      </c>
      <c r="Q100" s="108">
        <f>IF(NOT(ISNUMBER(Dashboard!$B$11)),-999,IF(AND($P100&lt;&gt;"",Dashboard!$B$11&gt;0,$P100&lt;=Dashboard!$B$11),$P100,-999))</f>
        <v>-999</v>
      </c>
      <c r="R100" s="108">
        <f>IF(NOT(ISNUMBER(Dashboard!$B$11)),999,IF(AND($P100&lt;&gt;"",Dashboard!$B$11&gt;0,$P100&gt;=Dashboard!$B$11),$P100,999))</f>
        <v>999</v>
      </c>
      <c r="S100" s="108" t="str">
        <f t="shared" si="1"/>
        <v/>
      </c>
    </row>
    <row r="101" spans="1:19" ht="27.4" customHeight="1">
      <c r="A101" s="1" t="s">
        <v>927</v>
      </c>
      <c r="B101" s="1" t="s">
        <v>2181</v>
      </c>
      <c r="C101" s="1">
        <v>8</v>
      </c>
      <c r="D101" s="1">
        <v>0.8</v>
      </c>
      <c r="E101" s="1">
        <v>1.335</v>
      </c>
      <c r="F101" s="1" t="s">
        <v>3010</v>
      </c>
      <c r="G101" s="1" t="s">
        <v>3114</v>
      </c>
      <c r="H101" s="1" t="s">
        <v>2195</v>
      </c>
      <c r="I101" s="1" t="s">
        <v>2195</v>
      </c>
      <c r="J101" s="1" t="s">
        <v>2208</v>
      </c>
      <c r="K101" s="108" t="str">
        <f>IF(AND($A101=Dashboard!$B$8,$C101='Calc Engine'!$B$5),$E101,"")</f>
        <v/>
      </c>
      <c r="L101" s="108">
        <f>IF(NOT(ISNUMBER(Dashboard!$B$11)),999,IF(OR(Dashboard!$B$11&lt;=0,$E101=""),999,ABS($E101-Dashboard!$B$11)))</f>
        <v>1.5000000000000124E-2</v>
      </c>
      <c r="M101" s="108" t="str">
        <f>IF(NOT(ISNUMBER(Dashboard!$B$11)),"",IF(AND(Dashboard!$B$11&gt;0,$L101=MIN($L$2:$L$300)),"Closest overall reference",""))</f>
        <v/>
      </c>
      <c r="N101" s="108">
        <f>IF(NOT(ISNUMBER(Dashboard!$B$11)),999,IF(AND(Dashboard!$B$11&gt;0,$A101=Dashboard!$B$8,$E101&lt;&gt;""),ABS($E101-Dashboard!$B$11),999))</f>
        <v>999</v>
      </c>
      <c r="O101" s="108" t="str">
        <f>IF(NOT(ISNUMBER(Dashboard!$B$11)),"",IF(AND(Dashboard!$B$11&gt;0,$N101=MIN($N$2:$N$300)),"Closest same-material reference",""))</f>
        <v/>
      </c>
      <c r="P101" s="108" t="str">
        <f>IF(AND($A101=Dashboard!$B$8,$C101='Calc Engine'!$B$5,$E101&lt;&gt;""),$E101,"")</f>
        <v/>
      </c>
      <c r="Q101" s="108">
        <f>IF(NOT(ISNUMBER(Dashboard!$B$11)),-999,IF(AND($P101&lt;&gt;"",Dashboard!$B$11&gt;0,$P101&lt;=Dashboard!$B$11),$P101,-999))</f>
        <v>-999</v>
      </c>
      <c r="R101" s="108">
        <f>IF(NOT(ISNUMBER(Dashboard!$B$11)),999,IF(AND($P101&lt;&gt;"",Dashboard!$B$11&gt;0,$P101&gt;=Dashboard!$B$11),$P101,999))</f>
        <v>999</v>
      </c>
      <c r="S101" s="108" t="str">
        <f t="shared" si="1"/>
        <v/>
      </c>
    </row>
    <row r="102" spans="1:19" ht="41.1" customHeight="1">
      <c r="A102" s="1" t="s">
        <v>927</v>
      </c>
      <c r="B102" s="1" t="s">
        <v>3012</v>
      </c>
      <c r="C102" s="1">
        <v>8</v>
      </c>
      <c r="D102" s="1">
        <v>0.8</v>
      </c>
      <c r="E102" s="1">
        <v>1.335</v>
      </c>
      <c r="F102" s="1" t="s">
        <v>3013</v>
      </c>
      <c r="G102" s="1" t="s">
        <v>3115</v>
      </c>
      <c r="H102" s="1" t="s">
        <v>2195</v>
      </c>
      <c r="I102" s="1" t="s">
        <v>2195</v>
      </c>
      <c r="J102" s="1" t="s">
        <v>2208</v>
      </c>
      <c r="K102" s="108" t="str">
        <f>IF(AND($A102=Dashboard!$B$8,$C102='Calc Engine'!$B$5),$E102,"")</f>
        <v/>
      </c>
      <c r="L102" s="108">
        <f>IF(NOT(ISNUMBER(Dashboard!$B$11)),999,IF(OR(Dashboard!$B$11&lt;=0,$E102=""),999,ABS($E102-Dashboard!$B$11)))</f>
        <v>1.5000000000000124E-2</v>
      </c>
      <c r="M102" s="108" t="str">
        <f>IF(NOT(ISNUMBER(Dashboard!$B$11)),"",IF(AND(Dashboard!$B$11&gt;0,$L102=MIN($L$2:$L$300)),"Closest overall reference",""))</f>
        <v/>
      </c>
      <c r="N102" s="108">
        <f>IF(NOT(ISNUMBER(Dashboard!$B$11)),999,IF(AND(Dashboard!$B$11&gt;0,$A102=Dashboard!$B$8,$E102&lt;&gt;""),ABS($E102-Dashboard!$B$11),999))</f>
        <v>999</v>
      </c>
      <c r="O102" s="108" t="str">
        <f>IF(NOT(ISNUMBER(Dashboard!$B$11)),"",IF(AND(Dashboard!$B$11&gt;0,$N102=MIN($N$2:$N$300)),"Closest same-material reference",""))</f>
        <v/>
      </c>
      <c r="P102" s="108" t="str">
        <f>IF(AND($A102=Dashboard!$B$8,$C102='Calc Engine'!$B$5,$E102&lt;&gt;""),$E102,"")</f>
        <v/>
      </c>
      <c r="Q102" s="108">
        <f>IF(NOT(ISNUMBER(Dashboard!$B$11)),-999,IF(AND($P102&lt;&gt;"",Dashboard!$B$11&gt;0,$P102&lt;=Dashboard!$B$11),$P102,-999))</f>
        <v>-999</v>
      </c>
      <c r="R102" s="108">
        <f>IF(NOT(ISNUMBER(Dashboard!$B$11)),999,IF(AND($P102&lt;&gt;"",Dashboard!$B$11&gt;0,$P102&gt;=Dashboard!$B$11),$P102,999))</f>
        <v>999</v>
      </c>
      <c r="S102" s="108" t="str">
        <f t="shared" si="1"/>
        <v/>
      </c>
    </row>
    <row r="103" spans="1:19" ht="54.75" customHeight="1">
      <c r="A103" s="1" t="s">
        <v>927</v>
      </c>
      <c r="B103" s="1" t="s">
        <v>3015</v>
      </c>
      <c r="C103" s="1">
        <v>8</v>
      </c>
      <c r="D103" s="1">
        <v>0.8</v>
      </c>
      <c r="E103" s="1">
        <v>1.335</v>
      </c>
      <c r="F103" s="1" t="s">
        <v>3016</v>
      </c>
      <c r="G103" s="1" t="s">
        <v>3116</v>
      </c>
      <c r="H103" s="1" t="s">
        <v>2195</v>
      </c>
      <c r="I103" s="1" t="s">
        <v>2195</v>
      </c>
      <c r="J103" s="1" t="s">
        <v>2208</v>
      </c>
      <c r="K103" s="108" t="str">
        <f>IF(AND($A103=Dashboard!$B$8,$C103='Calc Engine'!$B$5),$E103,"")</f>
        <v/>
      </c>
      <c r="L103" s="108">
        <f>IF(NOT(ISNUMBER(Dashboard!$B$11)),999,IF(OR(Dashboard!$B$11&lt;=0,$E103=""),999,ABS($E103-Dashboard!$B$11)))</f>
        <v>1.5000000000000124E-2</v>
      </c>
      <c r="M103" s="108" t="str">
        <f>IF(NOT(ISNUMBER(Dashboard!$B$11)),"",IF(AND(Dashboard!$B$11&gt;0,$L103=MIN($L$2:$L$300)),"Closest overall reference",""))</f>
        <v/>
      </c>
      <c r="N103" s="108">
        <f>IF(NOT(ISNUMBER(Dashboard!$B$11)),999,IF(AND(Dashboard!$B$11&gt;0,$A103=Dashboard!$B$8,$E103&lt;&gt;""),ABS($E103-Dashboard!$B$11),999))</f>
        <v>999</v>
      </c>
      <c r="O103" s="108" t="str">
        <f>IF(NOT(ISNUMBER(Dashboard!$B$11)),"",IF(AND(Dashboard!$B$11&gt;0,$N103=MIN($N$2:$N$300)),"Closest same-material reference",""))</f>
        <v/>
      </c>
      <c r="P103" s="108" t="str">
        <f>IF(AND($A103=Dashboard!$B$8,$C103='Calc Engine'!$B$5,$E103&lt;&gt;""),$E103,"")</f>
        <v/>
      </c>
      <c r="Q103" s="108">
        <f>IF(NOT(ISNUMBER(Dashboard!$B$11)),-999,IF(AND($P103&lt;&gt;"",Dashboard!$B$11&gt;0,$P103&lt;=Dashboard!$B$11),$P103,-999))</f>
        <v>-999</v>
      </c>
      <c r="R103" s="108">
        <f>IF(NOT(ISNUMBER(Dashboard!$B$11)),999,IF(AND($P103&lt;&gt;"",Dashboard!$B$11&gt;0,$P103&gt;=Dashboard!$B$11),$P103,999))</f>
        <v>999</v>
      </c>
      <c r="S103" s="108" t="str">
        <f t="shared" si="1"/>
        <v/>
      </c>
    </row>
    <row r="104" spans="1:19" ht="27.4" customHeight="1">
      <c r="A104" s="1" t="s">
        <v>927</v>
      </c>
      <c r="B104" s="1" t="s">
        <v>2181</v>
      </c>
      <c r="C104" s="1">
        <v>13</v>
      </c>
      <c r="D104" s="1">
        <v>1</v>
      </c>
      <c r="E104" s="1">
        <v>1.2649999999999999</v>
      </c>
      <c r="F104" s="1" t="s">
        <v>3010</v>
      </c>
      <c r="G104" s="1" t="s">
        <v>3117</v>
      </c>
      <c r="H104" s="1" t="s">
        <v>2195</v>
      </c>
      <c r="I104" s="1" t="s">
        <v>2195</v>
      </c>
      <c r="J104" s="1" t="s">
        <v>2208</v>
      </c>
      <c r="K104" s="108" t="str">
        <f>IF(AND($A104=Dashboard!$B$8,$C104='Calc Engine'!$B$5),$E104,"")</f>
        <v/>
      </c>
      <c r="L104" s="108">
        <f>IF(NOT(ISNUMBER(Dashboard!$B$11)),999,IF(OR(Dashboard!$B$11&lt;=0,$E104=""),999,ABS($E104-Dashboard!$B$11)))</f>
        <v>8.5000000000000187E-2</v>
      </c>
      <c r="M104" s="108" t="str">
        <f>IF(NOT(ISNUMBER(Dashboard!$B$11)),"",IF(AND(Dashboard!$B$11&gt;0,$L104=MIN($L$2:$L$300)),"Closest overall reference",""))</f>
        <v/>
      </c>
      <c r="N104" s="108">
        <f>IF(NOT(ISNUMBER(Dashboard!$B$11)),999,IF(AND(Dashboard!$B$11&gt;0,$A104=Dashboard!$B$8,$E104&lt;&gt;""),ABS($E104-Dashboard!$B$11),999))</f>
        <v>999</v>
      </c>
      <c r="O104" s="108" t="str">
        <f>IF(NOT(ISNUMBER(Dashboard!$B$11)),"",IF(AND(Dashboard!$B$11&gt;0,$N104=MIN($N$2:$N$300)),"Closest same-material reference",""))</f>
        <v/>
      </c>
      <c r="P104" s="108" t="str">
        <f>IF(AND($A104=Dashboard!$B$8,$C104='Calc Engine'!$B$5,$E104&lt;&gt;""),$E104,"")</f>
        <v/>
      </c>
      <c r="Q104" s="108">
        <f>IF(NOT(ISNUMBER(Dashboard!$B$11)),-999,IF(AND($P104&lt;&gt;"",Dashboard!$B$11&gt;0,$P104&lt;=Dashboard!$B$11),$P104,-999))</f>
        <v>-999</v>
      </c>
      <c r="R104" s="108">
        <f>IF(NOT(ISNUMBER(Dashboard!$B$11)),999,IF(AND($P104&lt;&gt;"",Dashboard!$B$11&gt;0,$P104&gt;=Dashboard!$B$11),$P104,999))</f>
        <v>999</v>
      </c>
      <c r="S104" s="108" t="str">
        <f t="shared" si="1"/>
        <v/>
      </c>
    </row>
    <row r="105" spans="1:19" ht="41.1" customHeight="1">
      <c r="A105" s="1" t="s">
        <v>927</v>
      </c>
      <c r="B105" s="1" t="s">
        <v>3012</v>
      </c>
      <c r="C105" s="1">
        <v>13</v>
      </c>
      <c r="D105" s="1">
        <v>1</v>
      </c>
      <c r="E105" s="1">
        <v>1.2649999999999999</v>
      </c>
      <c r="F105" s="1" t="s">
        <v>3013</v>
      </c>
      <c r="G105" s="1" t="s">
        <v>3118</v>
      </c>
      <c r="H105" s="1" t="s">
        <v>2195</v>
      </c>
      <c r="I105" s="1" t="s">
        <v>2195</v>
      </c>
      <c r="J105" s="1" t="s">
        <v>2208</v>
      </c>
      <c r="K105" s="108" t="str">
        <f>IF(AND($A105=Dashboard!$B$8,$C105='Calc Engine'!$B$5),$E105,"")</f>
        <v/>
      </c>
      <c r="L105" s="108">
        <f>IF(NOT(ISNUMBER(Dashboard!$B$11)),999,IF(OR(Dashboard!$B$11&lt;=0,$E105=""),999,ABS($E105-Dashboard!$B$11)))</f>
        <v>8.5000000000000187E-2</v>
      </c>
      <c r="M105" s="108" t="str">
        <f>IF(NOT(ISNUMBER(Dashboard!$B$11)),"",IF(AND(Dashboard!$B$11&gt;0,$L105=MIN($L$2:$L$300)),"Closest overall reference",""))</f>
        <v/>
      </c>
      <c r="N105" s="108">
        <f>IF(NOT(ISNUMBER(Dashboard!$B$11)),999,IF(AND(Dashboard!$B$11&gt;0,$A105=Dashboard!$B$8,$E105&lt;&gt;""),ABS($E105-Dashboard!$B$11),999))</f>
        <v>999</v>
      </c>
      <c r="O105" s="108" t="str">
        <f>IF(NOT(ISNUMBER(Dashboard!$B$11)),"",IF(AND(Dashboard!$B$11&gt;0,$N105=MIN($N$2:$N$300)),"Closest same-material reference",""))</f>
        <v/>
      </c>
      <c r="P105" s="108" t="str">
        <f>IF(AND($A105=Dashboard!$B$8,$C105='Calc Engine'!$B$5,$E105&lt;&gt;""),$E105,"")</f>
        <v/>
      </c>
      <c r="Q105" s="108">
        <f>IF(NOT(ISNUMBER(Dashboard!$B$11)),-999,IF(AND($P105&lt;&gt;"",Dashboard!$B$11&gt;0,$P105&lt;=Dashboard!$B$11),$P105,-999))</f>
        <v>-999</v>
      </c>
      <c r="R105" s="108">
        <f>IF(NOT(ISNUMBER(Dashboard!$B$11)),999,IF(AND($P105&lt;&gt;"",Dashboard!$B$11&gt;0,$P105&gt;=Dashboard!$B$11),$P105,999))</f>
        <v>999</v>
      </c>
      <c r="S105" s="108" t="str">
        <f t="shared" si="1"/>
        <v/>
      </c>
    </row>
    <row r="106" spans="1:19" ht="54.75" customHeight="1">
      <c r="A106" s="1" t="s">
        <v>927</v>
      </c>
      <c r="B106" s="1" t="s">
        <v>3015</v>
      </c>
      <c r="C106" s="1">
        <v>13</v>
      </c>
      <c r="D106" s="1">
        <v>1</v>
      </c>
      <c r="E106" s="1">
        <v>1.2649999999999999</v>
      </c>
      <c r="F106" s="1" t="s">
        <v>3016</v>
      </c>
      <c r="G106" s="1" t="s">
        <v>3119</v>
      </c>
      <c r="H106" s="1" t="s">
        <v>2195</v>
      </c>
      <c r="I106" s="1" t="s">
        <v>2195</v>
      </c>
      <c r="J106" s="1" t="s">
        <v>2208</v>
      </c>
      <c r="K106" s="108" t="str">
        <f>IF(AND($A106=Dashboard!$B$8,$C106='Calc Engine'!$B$5),$E106,"")</f>
        <v/>
      </c>
      <c r="L106" s="108">
        <f>IF(NOT(ISNUMBER(Dashboard!$B$11)),999,IF(OR(Dashboard!$B$11&lt;=0,$E106=""),999,ABS($E106-Dashboard!$B$11)))</f>
        <v>8.5000000000000187E-2</v>
      </c>
      <c r="M106" s="108" t="str">
        <f>IF(NOT(ISNUMBER(Dashboard!$B$11)),"",IF(AND(Dashboard!$B$11&gt;0,$L106=MIN($L$2:$L$300)),"Closest overall reference",""))</f>
        <v/>
      </c>
      <c r="N106" s="108">
        <f>IF(NOT(ISNUMBER(Dashboard!$B$11)),999,IF(AND(Dashboard!$B$11&gt;0,$A106=Dashboard!$B$8,$E106&lt;&gt;""),ABS($E106-Dashboard!$B$11),999))</f>
        <v>999</v>
      </c>
      <c r="O106" s="108" t="str">
        <f>IF(NOT(ISNUMBER(Dashboard!$B$11)),"",IF(AND(Dashboard!$B$11&gt;0,$N106=MIN($N$2:$N$300)),"Closest same-material reference",""))</f>
        <v/>
      </c>
      <c r="P106" s="108" t="str">
        <f>IF(AND($A106=Dashboard!$B$8,$C106='Calc Engine'!$B$5,$E106&lt;&gt;""),$E106,"")</f>
        <v/>
      </c>
      <c r="Q106" s="108">
        <f>IF(NOT(ISNUMBER(Dashboard!$B$11)),-999,IF(AND($P106&lt;&gt;"",Dashboard!$B$11&gt;0,$P106&lt;=Dashboard!$B$11),$P106,-999))</f>
        <v>-999</v>
      </c>
      <c r="R106" s="108">
        <f>IF(NOT(ISNUMBER(Dashboard!$B$11)),999,IF(AND($P106&lt;&gt;"",Dashboard!$B$11&gt;0,$P106&gt;=Dashboard!$B$11),$P106,999))</f>
        <v>999</v>
      </c>
      <c r="S106" s="108" t="str">
        <f t="shared" si="1"/>
        <v/>
      </c>
    </row>
    <row r="107" spans="1:19" ht="27.4" customHeight="1">
      <c r="A107" s="1" t="s">
        <v>927</v>
      </c>
      <c r="B107" s="1" t="s">
        <v>2181</v>
      </c>
      <c r="C107" s="1">
        <v>16</v>
      </c>
      <c r="D107" s="1">
        <v>1</v>
      </c>
      <c r="E107" s="1">
        <v>1.2370000000000001</v>
      </c>
      <c r="F107" s="1" t="s">
        <v>3010</v>
      </c>
      <c r="G107" s="1" t="s">
        <v>3120</v>
      </c>
      <c r="H107" s="1" t="s">
        <v>2195</v>
      </c>
      <c r="I107" s="1" t="s">
        <v>2195</v>
      </c>
      <c r="J107" s="1" t="s">
        <v>2208</v>
      </c>
      <c r="K107" s="108" t="str">
        <f>IF(AND($A107=Dashboard!$B$8,$C107='Calc Engine'!$B$5),$E107,"")</f>
        <v/>
      </c>
      <c r="L107" s="108">
        <f>IF(NOT(ISNUMBER(Dashboard!$B$11)),999,IF(OR(Dashboard!$B$11&lt;=0,$E107=""),999,ABS($E107-Dashboard!$B$11)))</f>
        <v>0.11299999999999999</v>
      </c>
      <c r="M107" s="108" t="str">
        <f>IF(NOT(ISNUMBER(Dashboard!$B$11)),"",IF(AND(Dashboard!$B$11&gt;0,$L107=MIN($L$2:$L$300)),"Closest overall reference",""))</f>
        <v/>
      </c>
      <c r="N107" s="108">
        <f>IF(NOT(ISNUMBER(Dashboard!$B$11)),999,IF(AND(Dashboard!$B$11&gt;0,$A107=Dashboard!$B$8,$E107&lt;&gt;""),ABS($E107-Dashboard!$B$11),999))</f>
        <v>999</v>
      </c>
      <c r="O107" s="108" t="str">
        <f>IF(NOT(ISNUMBER(Dashboard!$B$11)),"",IF(AND(Dashboard!$B$11&gt;0,$N107=MIN($N$2:$N$300)),"Closest same-material reference",""))</f>
        <v/>
      </c>
      <c r="P107" s="108" t="str">
        <f>IF(AND($A107=Dashboard!$B$8,$C107='Calc Engine'!$B$5,$E107&lt;&gt;""),$E107,"")</f>
        <v/>
      </c>
      <c r="Q107" s="108">
        <f>IF(NOT(ISNUMBER(Dashboard!$B$11)),-999,IF(AND($P107&lt;&gt;"",Dashboard!$B$11&gt;0,$P107&lt;=Dashboard!$B$11),$P107,-999))</f>
        <v>-999</v>
      </c>
      <c r="R107" s="108">
        <f>IF(NOT(ISNUMBER(Dashboard!$B$11)),999,IF(AND($P107&lt;&gt;"",Dashboard!$B$11&gt;0,$P107&gt;=Dashboard!$B$11),$P107,999))</f>
        <v>999</v>
      </c>
      <c r="S107" s="108" t="str">
        <f t="shared" si="1"/>
        <v/>
      </c>
    </row>
    <row r="108" spans="1:19" ht="41.1" customHeight="1">
      <c r="A108" s="1" t="s">
        <v>927</v>
      </c>
      <c r="B108" s="1" t="s">
        <v>3012</v>
      </c>
      <c r="C108" s="1">
        <v>16</v>
      </c>
      <c r="D108" s="1">
        <v>1</v>
      </c>
      <c r="E108" s="1">
        <v>1.2370000000000001</v>
      </c>
      <c r="F108" s="1" t="s">
        <v>3013</v>
      </c>
      <c r="G108" s="1" t="s">
        <v>3121</v>
      </c>
      <c r="H108" s="1" t="s">
        <v>2195</v>
      </c>
      <c r="I108" s="1" t="s">
        <v>2195</v>
      </c>
      <c r="J108" s="1" t="s">
        <v>2208</v>
      </c>
      <c r="K108" s="108" t="str">
        <f>IF(AND($A108=Dashboard!$B$8,$C108='Calc Engine'!$B$5),$E108,"")</f>
        <v/>
      </c>
      <c r="L108" s="108">
        <f>IF(NOT(ISNUMBER(Dashboard!$B$11)),999,IF(OR(Dashboard!$B$11&lt;=0,$E108=""),999,ABS($E108-Dashboard!$B$11)))</f>
        <v>0.11299999999999999</v>
      </c>
      <c r="M108" s="108" t="str">
        <f>IF(NOT(ISNUMBER(Dashboard!$B$11)),"",IF(AND(Dashboard!$B$11&gt;0,$L108=MIN($L$2:$L$300)),"Closest overall reference",""))</f>
        <v/>
      </c>
      <c r="N108" s="108">
        <f>IF(NOT(ISNUMBER(Dashboard!$B$11)),999,IF(AND(Dashboard!$B$11&gt;0,$A108=Dashboard!$B$8,$E108&lt;&gt;""),ABS($E108-Dashboard!$B$11),999))</f>
        <v>999</v>
      </c>
      <c r="O108" s="108" t="str">
        <f>IF(NOT(ISNUMBER(Dashboard!$B$11)),"",IF(AND(Dashboard!$B$11&gt;0,$N108=MIN($N$2:$N$300)),"Closest same-material reference",""))</f>
        <v/>
      </c>
      <c r="P108" s="108" t="str">
        <f>IF(AND($A108=Dashboard!$B$8,$C108='Calc Engine'!$B$5,$E108&lt;&gt;""),$E108,"")</f>
        <v/>
      </c>
      <c r="Q108" s="108">
        <f>IF(NOT(ISNUMBER(Dashboard!$B$11)),-999,IF(AND($P108&lt;&gt;"",Dashboard!$B$11&gt;0,$P108&lt;=Dashboard!$B$11),$P108,-999))</f>
        <v>-999</v>
      </c>
      <c r="R108" s="108">
        <f>IF(NOT(ISNUMBER(Dashboard!$B$11)),999,IF(AND($P108&lt;&gt;"",Dashboard!$B$11&gt;0,$P108&gt;=Dashboard!$B$11),$P108,999))</f>
        <v>999</v>
      </c>
      <c r="S108" s="108" t="str">
        <f t="shared" si="1"/>
        <v/>
      </c>
    </row>
    <row r="109" spans="1:19" ht="54.75" customHeight="1">
      <c r="A109" s="1" t="s">
        <v>927</v>
      </c>
      <c r="B109" s="1" t="s">
        <v>3015</v>
      </c>
      <c r="C109" s="1">
        <v>16</v>
      </c>
      <c r="D109" s="1">
        <v>1</v>
      </c>
      <c r="E109" s="1">
        <v>1.2370000000000001</v>
      </c>
      <c r="F109" s="1" t="s">
        <v>3016</v>
      </c>
      <c r="G109" s="1" t="s">
        <v>3122</v>
      </c>
      <c r="H109" s="1" t="s">
        <v>2195</v>
      </c>
      <c r="I109" s="1" t="s">
        <v>2195</v>
      </c>
      <c r="J109" s="1" t="s">
        <v>2208</v>
      </c>
      <c r="K109" s="108" t="str">
        <f>IF(AND($A109=Dashboard!$B$8,$C109='Calc Engine'!$B$5),$E109,"")</f>
        <v/>
      </c>
      <c r="L109" s="108">
        <f>IF(NOT(ISNUMBER(Dashboard!$B$11)),999,IF(OR(Dashboard!$B$11&lt;=0,$E109=""),999,ABS($E109-Dashboard!$B$11)))</f>
        <v>0.11299999999999999</v>
      </c>
      <c r="M109" s="108" t="str">
        <f>IF(NOT(ISNUMBER(Dashboard!$B$11)),"",IF(AND(Dashboard!$B$11&gt;0,$L109=MIN($L$2:$L$300)),"Closest overall reference",""))</f>
        <v/>
      </c>
      <c r="N109" s="108">
        <f>IF(NOT(ISNUMBER(Dashboard!$B$11)),999,IF(AND(Dashboard!$B$11&gt;0,$A109=Dashboard!$B$8,$E109&lt;&gt;""),ABS($E109-Dashboard!$B$11),999))</f>
        <v>999</v>
      </c>
      <c r="O109" s="108" t="str">
        <f>IF(NOT(ISNUMBER(Dashboard!$B$11)),"",IF(AND(Dashboard!$B$11&gt;0,$N109=MIN($N$2:$N$300)),"Closest same-material reference",""))</f>
        <v/>
      </c>
      <c r="P109" s="108" t="str">
        <f>IF(AND($A109=Dashboard!$B$8,$C109='Calc Engine'!$B$5,$E109&lt;&gt;""),$E109,"")</f>
        <v/>
      </c>
      <c r="Q109" s="108">
        <f>IF(NOT(ISNUMBER(Dashboard!$B$11)),-999,IF(AND($P109&lt;&gt;"",Dashboard!$B$11&gt;0,$P109&lt;=Dashboard!$B$11),$P109,-999))</f>
        <v>-999</v>
      </c>
      <c r="R109" s="108">
        <f>IF(NOT(ISNUMBER(Dashboard!$B$11)),999,IF(AND($P109&lt;&gt;"",Dashboard!$B$11&gt;0,$P109&gt;=Dashboard!$B$11),$P109,999))</f>
        <v>999</v>
      </c>
      <c r="S109" s="108" t="str">
        <f t="shared" si="1"/>
        <v/>
      </c>
    </row>
    <row r="110" spans="1:19" ht="27.4" customHeight="1">
      <c r="A110" s="1" t="s">
        <v>927</v>
      </c>
      <c r="B110" s="1" t="s">
        <v>2181</v>
      </c>
      <c r="C110" s="1">
        <v>20</v>
      </c>
      <c r="D110" s="1">
        <v>1.2</v>
      </c>
      <c r="E110" s="1">
        <v>1.17</v>
      </c>
      <c r="F110" s="1" t="s">
        <v>3010</v>
      </c>
      <c r="G110" s="1" t="s">
        <v>3123</v>
      </c>
      <c r="H110" s="1" t="s">
        <v>2195</v>
      </c>
      <c r="I110" s="1" t="s">
        <v>2195</v>
      </c>
      <c r="J110" s="1" t="s">
        <v>2208</v>
      </c>
      <c r="K110" s="108" t="str">
        <f>IF(AND($A110=Dashboard!$B$8,$C110='Calc Engine'!$B$5),$E110,"")</f>
        <v/>
      </c>
      <c r="L110" s="108">
        <f>IF(NOT(ISNUMBER(Dashboard!$B$11)),999,IF(OR(Dashboard!$B$11&lt;=0,$E110=""),999,ABS($E110-Dashboard!$B$11)))</f>
        <v>0.18000000000000016</v>
      </c>
      <c r="M110" s="108" t="str">
        <f>IF(NOT(ISNUMBER(Dashboard!$B$11)),"",IF(AND(Dashboard!$B$11&gt;0,$L110=MIN($L$2:$L$300)),"Closest overall reference",""))</f>
        <v/>
      </c>
      <c r="N110" s="108">
        <f>IF(NOT(ISNUMBER(Dashboard!$B$11)),999,IF(AND(Dashboard!$B$11&gt;0,$A110=Dashboard!$B$8,$E110&lt;&gt;""),ABS($E110-Dashboard!$B$11),999))</f>
        <v>999</v>
      </c>
      <c r="O110" s="108" t="str">
        <f>IF(NOT(ISNUMBER(Dashboard!$B$11)),"",IF(AND(Dashboard!$B$11&gt;0,$N110=MIN($N$2:$N$300)),"Closest same-material reference",""))</f>
        <v/>
      </c>
      <c r="P110" s="108" t="str">
        <f>IF(AND($A110=Dashboard!$B$8,$C110='Calc Engine'!$B$5,$E110&lt;&gt;""),$E110,"")</f>
        <v/>
      </c>
      <c r="Q110" s="108">
        <f>IF(NOT(ISNUMBER(Dashboard!$B$11)),-999,IF(AND($P110&lt;&gt;"",Dashboard!$B$11&gt;0,$P110&lt;=Dashboard!$B$11),$P110,-999))</f>
        <v>-999</v>
      </c>
      <c r="R110" s="108">
        <f>IF(NOT(ISNUMBER(Dashboard!$B$11)),999,IF(AND($P110&lt;&gt;"",Dashboard!$B$11&gt;0,$P110&gt;=Dashboard!$B$11),$P110,999))</f>
        <v>999</v>
      </c>
      <c r="S110" s="108" t="str">
        <f t="shared" si="1"/>
        <v/>
      </c>
    </row>
    <row r="111" spans="1:19" ht="41.1" customHeight="1">
      <c r="A111" s="1" t="s">
        <v>927</v>
      </c>
      <c r="B111" s="1" t="s">
        <v>3012</v>
      </c>
      <c r="C111" s="1">
        <v>20</v>
      </c>
      <c r="D111" s="1">
        <v>1.2</v>
      </c>
      <c r="E111" s="1">
        <v>1.17</v>
      </c>
      <c r="F111" s="1" t="s">
        <v>3013</v>
      </c>
      <c r="G111" s="1" t="s">
        <v>3124</v>
      </c>
      <c r="H111" s="1" t="s">
        <v>2195</v>
      </c>
      <c r="I111" s="1" t="s">
        <v>2195</v>
      </c>
      <c r="J111" s="1" t="s">
        <v>2208</v>
      </c>
      <c r="K111" s="108" t="str">
        <f>IF(AND($A111=Dashboard!$B$8,$C111='Calc Engine'!$B$5),$E111,"")</f>
        <v/>
      </c>
      <c r="L111" s="108">
        <f>IF(NOT(ISNUMBER(Dashboard!$B$11)),999,IF(OR(Dashboard!$B$11&lt;=0,$E111=""),999,ABS($E111-Dashboard!$B$11)))</f>
        <v>0.18000000000000016</v>
      </c>
      <c r="M111" s="108" t="str">
        <f>IF(NOT(ISNUMBER(Dashboard!$B$11)),"",IF(AND(Dashboard!$B$11&gt;0,$L111=MIN($L$2:$L$300)),"Closest overall reference",""))</f>
        <v/>
      </c>
      <c r="N111" s="108">
        <f>IF(NOT(ISNUMBER(Dashboard!$B$11)),999,IF(AND(Dashboard!$B$11&gt;0,$A111=Dashboard!$B$8,$E111&lt;&gt;""),ABS($E111-Dashboard!$B$11),999))</f>
        <v>999</v>
      </c>
      <c r="O111" s="108" t="str">
        <f>IF(NOT(ISNUMBER(Dashboard!$B$11)),"",IF(AND(Dashboard!$B$11&gt;0,$N111=MIN($N$2:$N$300)),"Closest same-material reference",""))</f>
        <v/>
      </c>
      <c r="P111" s="108" t="str">
        <f>IF(AND($A111=Dashboard!$B$8,$C111='Calc Engine'!$B$5,$E111&lt;&gt;""),$E111,"")</f>
        <v/>
      </c>
      <c r="Q111" s="108">
        <f>IF(NOT(ISNUMBER(Dashboard!$B$11)),-999,IF(AND($P111&lt;&gt;"",Dashboard!$B$11&gt;0,$P111&lt;=Dashboard!$B$11),$P111,-999))</f>
        <v>-999</v>
      </c>
      <c r="R111" s="108">
        <f>IF(NOT(ISNUMBER(Dashboard!$B$11)),999,IF(AND($P111&lt;&gt;"",Dashboard!$B$11&gt;0,$P111&gt;=Dashboard!$B$11),$P111,999))</f>
        <v>999</v>
      </c>
      <c r="S111" s="108" t="str">
        <f t="shared" si="1"/>
        <v/>
      </c>
    </row>
    <row r="112" spans="1:19" ht="54.75" customHeight="1">
      <c r="A112" s="1" t="s">
        <v>927</v>
      </c>
      <c r="B112" s="1" t="s">
        <v>3015</v>
      </c>
      <c r="C112" s="1">
        <v>20</v>
      </c>
      <c r="D112" s="1">
        <v>1.2</v>
      </c>
      <c r="E112" s="1">
        <v>1.17</v>
      </c>
      <c r="F112" s="1" t="s">
        <v>3016</v>
      </c>
      <c r="G112" s="1" t="s">
        <v>3125</v>
      </c>
      <c r="H112" s="1" t="s">
        <v>2195</v>
      </c>
      <c r="I112" s="1" t="s">
        <v>2195</v>
      </c>
      <c r="J112" s="1" t="s">
        <v>2208</v>
      </c>
      <c r="K112" s="108" t="str">
        <f>IF(AND($A112=Dashboard!$B$8,$C112='Calc Engine'!$B$5),$E112,"")</f>
        <v/>
      </c>
      <c r="L112" s="108">
        <f>IF(NOT(ISNUMBER(Dashboard!$B$11)),999,IF(OR(Dashboard!$B$11&lt;=0,$E112=""),999,ABS($E112-Dashboard!$B$11)))</f>
        <v>0.18000000000000016</v>
      </c>
      <c r="M112" s="108" t="str">
        <f>IF(NOT(ISNUMBER(Dashboard!$B$11)),"",IF(AND(Dashboard!$B$11&gt;0,$L112=MIN($L$2:$L$300)),"Closest overall reference",""))</f>
        <v/>
      </c>
      <c r="N112" s="108">
        <f>IF(NOT(ISNUMBER(Dashboard!$B$11)),999,IF(AND(Dashboard!$B$11&gt;0,$A112=Dashboard!$B$8,$E112&lt;&gt;""),ABS($E112-Dashboard!$B$11),999))</f>
        <v>999</v>
      </c>
      <c r="O112" s="108" t="str">
        <f>IF(NOT(ISNUMBER(Dashboard!$B$11)),"",IF(AND(Dashboard!$B$11&gt;0,$N112=MIN($N$2:$N$300)),"Closest same-material reference",""))</f>
        <v/>
      </c>
      <c r="P112" s="108" t="str">
        <f>IF(AND($A112=Dashboard!$B$8,$C112='Calc Engine'!$B$5,$E112&lt;&gt;""),$E112,"")</f>
        <v/>
      </c>
      <c r="Q112" s="108">
        <f>IF(NOT(ISNUMBER(Dashboard!$B$11)),-999,IF(AND($P112&lt;&gt;"",Dashboard!$B$11&gt;0,$P112&lt;=Dashboard!$B$11),$P112,-999))</f>
        <v>-999</v>
      </c>
      <c r="R112" s="108">
        <f>IF(NOT(ISNUMBER(Dashboard!$B$11)),999,IF(AND($P112&lt;&gt;"",Dashboard!$B$11&gt;0,$P112&gt;=Dashboard!$B$11),$P112,999))</f>
        <v>999</v>
      </c>
      <c r="S112" s="108" t="str">
        <f t="shared" si="1"/>
        <v/>
      </c>
    </row>
    <row r="113" spans="1:19" ht="123" customHeight="1">
      <c r="A113" s="1" t="s">
        <v>927</v>
      </c>
      <c r="B113" s="1" t="s">
        <v>2181</v>
      </c>
      <c r="C113" s="1">
        <v>26</v>
      </c>
      <c r="D113" s="1">
        <v>1.2</v>
      </c>
      <c r="E113" s="1">
        <v>1.1180000000000001</v>
      </c>
      <c r="F113" s="1" t="s">
        <v>3126</v>
      </c>
      <c r="G113" s="1" t="s">
        <v>3127</v>
      </c>
      <c r="H113" s="1" t="s">
        <v>2195</v>
      </c>
      <c r="I113" s="1" t="s">
        <v>2195</v>
      </c>
      <c r="J113" s="1" t="s">
        <v>2208</v>
      </c>
      <c r="K113" s="108" t="str">
        <f>IF(AND($A113=Dashboard!$B$8,$C113='Calc Engine'!$B$5),$E113,"")</f>
        <v/>
      </c>
      <c r="L113" s="108">
        <f>IF(NOT(ISNUMBER(Dashboard!$B$11)),999,IF(OR(Dashboard!$B$11&lt;=0,$E113=""),999,ABS($E113-Dashboard!$B$11)))</f>
        <v>0.23199999999999998</v>
      </c>
      <c r="M113" s="108" t="str">
        <f>IF(NOT(ISNUMBER(Dashboard!$B$11)),"",IF(AND(Dashboard!$B$11&gt;0,$L113=MIN($L$2:$L$300)),"Closest overall reference",""))</f>
        <v/>
      </c>
      <c r="N113" s="108">
        <f>IF(NOT(ISNUMBER(Dashboard!$B$11)),999,IF(AND(Dashboard!$B$11&gt;0,$A113=Dashboard!$B$8,$E113&lt;&gt;""),ABS($E113-Dashboard!$B$11),999))</f>
        <v>999</v>
      </c>
      <c r="O113" s="108" t="str">
        <f>IF(NOT(ISNUMBER(Dashboard!$B$11)),"",IF(AND(Dashboard!$B$11&gt;0,$N113=MIN($N$2:$N$300)),"Closest same-material reference",""))</f>
        <v/>
      </c>
      <c r="P113" s="108" t="str">
        <f>IF(AND($A113=Dashboard!$B$8,$C113='Calc Engine'!$B$5,$E113&lt;&gt;""),$E113,"")</f>
        <v/>
      </c>
      <c r="Q113" s="108">
        <f>IF(NOT(ISNUMBER(Dashboard!$B$11)),-999,IF(AND($P113&lt;&gt;"",Dashboard!$B$11&gt;0,$P113&lt;=Dashboard!$B$11),$P113,-999))</f>
        <v>-999</v>
      </c>
      <c r="R113" s="108">
        <f>IF(NOT(ISNUMBER(Dashboard!$B$11)),999,IF(AND($P113&lt;&gt;"",Dashboard!$B$11&gt;0,$P113&gt;=Dashboard!$B$11),$P113,999))</f>
        <v>999</v>
      </c>
      <c r="S113" s="108" t="str">
        <f t="shared" si="1"/>
        <v/>
      </c>
    </row>
    <row r="114" spans="1:19" ht="123" customHeight="1">
      <c r="A114" s="1" t="s">
        <v>927</v>
      </c>
      <c r="B114" s="1" t="s">
        <v>3012</v>
      </c>
      <c r="C114" s="1">
        <v>26</v>
      </c>
      <c r="D114" s="1">
        <v>1.2</v>
      </c>
      <c r="E114" s="1">
        <v>1.1180000000000001</v>
      </c>
      <c r="F114" s="1" t="s">
        <v>3126</v>
      </c>
      <c r="G114" s="1" t="s">
        <v>3128</v>
      </c>
      <c r="H114" s="1" t="s">
        <v>2195</v>
      </c>
      <c r="I114" s="1" t="s">
        <v>2195</v>
      </c>
      <c r="J114" s="1" t="s">
        <v>2208</v>
      </c>
      <c r="K114" s="108" t="str">
        <f>IF(AND($A114=Dashboard!$B$8,$C114='Calc Engine'!$B$5),$E114,"")</f>
        <v/>
      </c>
      <c r="L114" s="108">
        <f>IF(NOT(ISNUMBER(Dashboard!$B$11)),999,IF(OR(Dashboard!$B$11&lt;=0,$E114=""),999,ABS($E114-Dashboard!$B$11)))</f>
        <v>0.23199999999999998</v>
      </c>
      <c r="M114" s="108" t="str">
        <f>IF(NOT(ISNUMBER(Dashboard!$B$11)),"",IF(AND(Dashboard!$B$11&gt;0,$L114=MIN($L$2:$L$300)),"Closest overall reference",""))</f>
        <v/>
      </c>
      <c r="N114" s="108">
        <f>IF(NOT(ISNUMBER(Dashboard!$B$11)),999,IF(AND(Dashboard!$B$11&gt;0,$A114=Dashboard!$B$8,$E114&lt;&gt;""),ABS($E114-Dashboard!$B$11),999))</f>
        <v>999</v>
      </c>
      <c r="O114" s="108" t="str">
        <f>IF(NOT(ISNUMBER(Dashboard!$B$11)),"",IF(AND(Dashboard!$B$11&gt;0,$N114=MIN($N$2:$N$300)),"Closest same-material reference",""))</f>
        <v/>
      </c>
      <c r="P114" s="108" t="str">
        <f>IF(AND($A114=Dashboard!$B$8,$C114='Calc Engine'!$B$5,$E114&lt;&gt;""),$E114,"")</f>
        <v/>
      </c>
      <c r="Q114" s="108">
        <f>IF(NOT(ISNUMBER(Dashboard!$B$11)),-999,IF(AND($P114&lt;&gt;"",Dashboard!$B$11&gt;0,$P114&lt;=Dashboard!$B$11),$P114,-999))</f>
        <v>-999</v>
      </c>
      <c r="R114" s="108">
        <f>IF(NOT(ISNUMBER(Dashboard!$B$11)),999,IF(AND($P114&lt;&gt;"",Dashboard!$B$11&gt;0,$P114&gt;=Dashboard!$B$11),$P114,999))</f>
        <v>999</v>
      </c>
      <c r="S114" s="108" t="str">
        <f t="shared" si="1"/>
        <v/>
      </c>
    </row>
    <row r="115" spans="1:19" ht="123" customHeight="1">
      <c r="A115" s="1" t="s">
        <v>927</v>
      </c>
      <c r="B115" s="1" t="s">
        <v>3015</v>
      </c>
      <c r="C115" s="1">
        <v>26</v>
      </c>
      <c r="D115" s="1">
        <v>1.2</v>
      </c>
      <c r="E115" s="1">
        <v>1.1180000000000001</v>
      </c>
      <c r="F115" s="1" t="s">
        <v>3126</v>
      </c>
      <c r="G115" s="1" t="s">
        <v>3129</v>
      </c>
      <c r="H115" s="1" t="s">
        <v>2195</v>
      </c>
      <c r="I115" s="1" t="s">
        <v>2195</v>
      </c>
      <c r="J115" s="1" t="s">
        <v>2208</v>
      </c>
      <c r="K115" s="108" t="str">
        <f>IF(AND($A115=Dashboard!$B$8,$C115='Calc Engine'!$B$5),$E115,"")</f>
        <v/>
      </c>
      <c r="L115" s="108">
        <f>IF(NOT(ISNUMBER(Dashboard!$B$11)),999,IF(OR(Dashboard!$B$11&lt;=0,$E115=""),999,ABS($E115-Dashboard!$B$11)))</f>
        <v>0.23199999999999998</v>
      </c>
      <c r="M115" s="108" t="str">
        <f>IF(NOT(ISNUMBER(Dashboard!$B$11)),"",IF(AND(Dashboard!$B$11&gt;0,$L115=MIN($L$2:$L$300)),"Closest overall reference",""))</f>
        <v/>
      </c>
      <c r="N115" s="108">
        <f>IF(NOT(ISNUMBER(Dashboard!$B$11)),999,IF(AND(Dashboard!$B$11&gt;0,$A115=Dashboard!$B$8,$E115&lt;&gt;""),ABS($E115-Dashboard!$B$11),999))</f>
        <v>999</v>
      </c>
      <c r="O115" s="108" t="str">
        <f>IF(NOT(ISNUMBER(Dashboard!$B$11)),"",IF(AND(Dashboard!$B$11&gt;0,$N115=MIN($N$2:$N$300)),"Closest same-material reference",""))</f>
        <v/>
      </c>
      <c r="P115" s="108" t="str">
        <f>IF(AND($A115=Dashboard!$B$8,$C115='Calc Engine'!$B$5,$E115&lt;&gt;""),$E115,"")</f>
        <v/>
      </c>
      <c r="Q115" s="108">
        <f>IF(NOT(ISNUMBER(Dashboard!$B$11)),-999,IF(AND($P115&lt;&gt;"",Dashboard!$B$11&gt;0,$P115&lt;=Dashboard!$B$11),$P115,-999))</f>
        <v>-999</v>
      </c>
      <c r="R115" s="108">
        <f>IF(NOT(ISNUMBER(Dashboard!$B$11)),999,IF(AND($P115&lt;&gt;"",Dashboard!$B$11&gt;0,$P115&gt;=Dashboard!$B$11),$P115,999))</f>
        <v>999</v>
      </c>
      <c r="S115" s="108" t="str">
        <f t="shared" si="1"/>
        <v/>
      </c>
    </row>
    <row r="116" spans="1:19" ht="123" customHeight="1">
      <c r="A116" s="1" t="s">
        <v>927</v>
      </c>
      <c r="B116" s="1" t="s">
        <v>2181</v>
      </c>
      <c r="C116" s="1">
        <v>32</v>
      </c>
      <c r="D116" s="1">
        <v>1.5</v>
      </c>
      <c r="E116" s="1">
        <v>1.0129999999999999</v>
      </c>
      <c r="F116" s="1" t="s">
        <v>3126</v>
      </c>
      <c r="G116" s="1" t="s">
        <v>3130</v>
      </c>
      <c r="H116" s="1" t="s">
        <v>2195</v>
      </c>
      <c r="I116" s="1" t="s">
        <v>2195</v>
      </c>
      <c r="J116" s="1" t="s">
        <v>2208</v>
      </c>
      <c r="K116" s="108" t="str">
        <f>IF(AND($A116=Dashboard!$B$8,$C116='Calc Engine'!$B$5),$E116,"")</f>
        <v/>
      </c>
      <c r="L116" s="108">
        <f>IF(NOT(ISNUMBER(Dashboard!$B$11)),999,IF(OR(Dashboard!$B$11&lt;=0,$E116=""),999,ABS($E116-Dashboard!$B$11)))</f>
        <v>0.33700000000000019</v>
      </c>
      <c r="M116" s="108" t="str">
        <f>IF(NOT(ISNUMBER(Dashboard!$B$11)),"",IF(AND(Dashboard!$B$11&gt;0,$L116=MIN($L$2:$L$300)),"Closest overall reference",""))</f>
        <v/>
      </c>
      <c r="N116" s="108">
        <f>IF(NOT(ISNUMBER(Dashboard!$B$11)),999,IF(AND(Dashboard!$B$11&gt;0,$A116=Dashboard!$B$8,$E116&lt;&gt;""),ABS($E116-Dashboard!$B$11),999))</f>
        <v>999</v>
      </c>
      <c r="O116" s="108" t="str">
        <f>IF(NOT(ISNUMBER(Dashboard!$B$11)),"",IF(AND(Dashboard!$B$11&gt;0,$N116=MIN($N$2:$N$300)),"Closest same-material reference",""))</f>
        <v/>
      </c>
      <c r="P116" s="108" t="str">
        <f>IF(AND($A116=Dashboard!$B$8,$C116='Calc Engine'!$B$5,$E116&lt;&gt;""),$E116,"")</f>
        <v/>
      </c>
      <c r="Q116" s="108">
        <f>IF(NOT(ISNUMBER(Dashboard!$B$11)),-999,IF(AND($P116&lt;&gt;"",Dashboard!$B$11&gt;0,$P116&lt;=Dashboard!$B$11),$P116,-999))</f>
        <v>-999</v>
      </c>
      <c r="R116" s="108">
        <f>IF(NOT(ISNUMBER(Dashboard!$B$11)),999,IF(AND($P116&lt;&gt;"",Dashboard!$B$11&gt;0,$P116&gt;=Dashboard!$B$11),$P116,999))</f>
        <v>999</v>
      </c>
      <c r="S116" s="108" t="str">
        <f t="shared" si="1"/>
        <v/>
      </c>
    </row>
    <row r="117" spans="1:19" ht="123" customHeight="1">
      <c r="A117" s="1" t="s">
        <v>927</v>
      </c>
      <c r="B117" s="1" t="s">
        <v>3012</v>
      </c>
      <c r="C117" s="1">
        <v>32</v>
      </c>
      <c r="D117" s="1">
        <v>1.5</v>
      </c>
      <c r="E117" s="1">
        <v>1.0129999999999999</v>
      </c>
      <c r="F117" s="1" t="s">
        <v>3126</v>
      </c>
      <c r="G117" s="1" t="s">
        <v>3131</v>
      </c>
      <c r="H117" s="1" t="s">
        <v>2195</v>
      </c>
      <c r="I117" s="1" t="s">
        <v>2195</v>
      </c>
      <c r="J117" s="1" t="s">
        <v>2208</v>
      </c>
      <c r="K117" s="108" t="str">
        <f>IF(AND($A117=Dashboard!$B$8,$C117='Calc Engine'!$B$5),$E117,"")</f>
        <v/>
      </c>
      <c r="L117" s="108">
        <f>IF(NOT(ISNUMBER(Dashboard!$B$11)),999,IF(OR(Dashboard!$B$11&lt;=0,$E117=""),999,ABS($E117-Dashboard!$B$11)))</f>
        <v>0.33700000000000019</v>
      </c>
      <c r="M117" s="108" t="str">
        <f>IF(NOT(ISNUMBER(Dashboard!$B$11)),"",IF(AND(Dashboard!$B$11&gt;0,$L117=MIN($L$2:$L$300)),"Closest overall reference",""))</f>
        <v/>
      </c>
      <c r="N117" s="108">
        <f>IF(NOT(ISNUMBER(Dashboard!$B$11)),999,IF(AND(Dashboard!$B$11&gt;0,$A117=Dashboard!$B$8,$E117&lt;&gt;""),ABS($E117-Dashboard!$B$11),999))</f>
        <v>999</v>
      </c>
      <c r="O117" s="108" t="str">
        <f>IF(NOT(ISNUMBER(Dashboard!$B$11)),"",IF(AND(Dashboard!$B$11&gt;0,$N117=MIN($N$2:$N$300)),"Closest same-material reference",""))</f>
        <v/>
      </c>
      <c r="P117" s="108" t="str">
        <f>IF(AND($A117=Dashboard!$B$8,$C117='Calc Engine'!$B$5,$E117&lt;&gt;""),$E117,"")</f>
        <v/>
      </c>
      <c r="Q117" s="108">
        <f>IF(NOT(ISNUMBER(Dashboard!$B$11)),-999,IF(AND($P117&lt;&gt;"",Dashboard!$B$11&gt;0,$P117&lt;=Dashboard!$B$11),$P117,-999))</f>
        <v>-999</v>
      </c>
      <c r="R117" s="108">
        <f>IF(NOT(ISNUMBER(Dashboard!$B$11)),999,IF(AND($P117&lt;&gt;"",Dashboard!$B$11&gt;0,$P117&gt;=Dashboard!$B$11),$P117,999))</f>
        <v>999</v>
      </c>
      <c r="S117" s="108" t="str">
        <f t="shared" si="1"/>
        <v/>
      </c>
    </row>
    <row r="118" spans="1:19" ht="123" customHeight="1">
      <c r="A118" s="1" t="s">
        <v>927</v>
      </c>
      <c r="B118" s="1" t="s">
        <v>3015</v>
      </c>
      <c r="C118" s="1">
        <v>32</v>
      </c>
      <c r="D118" s="1">
        <v>1.5</v>
      </c>
      <c r="E118" s="1">
        <v>1.0129999999999999</v>
      </c>
      <c r="F118" s="1" t="s">
        <v>3126</v>
      </c>
      <c r="G118" s="1" t="s">
        <v>3132</v>
      </c>
      <c r="H118" s="1" t="s">
        <v>2195</v>
      </c>
      <c r="I118" s="1" t="s">
        <v>2195</v>
      </c>
      <c r="J118" s="1" t="s">
        <v>2208</v>
      </c>
      <c r="K118" s="108" t="str">
        <f>IF(AND($A118=Dashboard!$B$8,$C118='Calc Engine'!$B$5),$E118,"")</f>
        <v/>
      </c>
      <c r="L118" s="108">
        <f>IF(NOT(ISNUMBER(Dashboard!$B$11)),999,IF(OR(Dashboard!$B$11&lt;=0,$E118=""),999,ABS($E118-Dashboard!$B$11)))</f>
        <v>0.33700000000000019</v>
      </c>
      <c r="M118" s="108" t="str">
        <f>IF(NOT(ISNUMBER(Dashboard!$B$11)),"",IF(AND(Dashboard!$B$11&gt;0,$L118=MIN($L$2:$L$300)),"Closest overall reference",""))</f>
        <v/>
      </c>
      <c r="N118" s="108">
        <f>IF(NOT(ISNUMBER(Dashboard!$B$11)),999,IF(AND(Dashboard!$B$11&gt;0,$A118=Dashboard!$B$8,$E118&lt;&gt;""),ABS($E118-Dashboard!$B$11),999))</f>
        <v>999</v>
      </c>
      <c r="O118" s="108" t="str">
        <f>IF(NOT(ISNUMBER(Dashboard!$B$11)),"",IF(AND(Dashboard!$B$11&gt;0,$N118=MIN($N$2:$N$300)),"Closest same-material reference",""))</f>
        <v/>
      </c>
      <c r="P118" s="108" t="str">
        <f>IF(AND($A118=Dashboard!$B$8,$C118='Calc Engine'!$B$5,$E118&lt;&gt;""),$E118,"")</f>
        <v/>
      </c>
      <c r="Q118" s="108">
        <f>IF(NOT(ISNUMBER(Dashboard!$B$11)),-999,IF(AND($P118&lt;&gt;"",Dashboard!$B$11&gt;0,$P118&lt;=Dashboard!$B$11),$P118,-999))</f>
        <v>-999</v>
      </c>
      <c r="R118" s="108">
        <f>IF(NOT(ISNUMBER(Dashboard!$B$11)),999,IF(AND($P118&lt;&gt;"",Dashboard!$B$11&gt;0,$P118&gt;=Dashboard!$B$11),$P118,999))</f>
        <v>999</v>
      </c>
      <c r="S118" s="108" t="str">
        <f t="shared" si="1"/>
        <v/>
      </c>
    </row>
    <row r="119" spans="1:19" ht="123" customHeight="1">
      <c r="A119" s="1" t="s">
        <v>927</v>
      </c>
      <c r="B119" s="1" t="s">
        <v>2181</v>
      </c>
      <c r="C119" s="1">
        <v>39</v>
      </c>
      <c r="D119" s="1">
        <v>1.5</v>
      </c>
      <c r="E119" s="1">
        <v>0.96499999999999997</v>
      </c>
      <c r="F119" s="1" t="s">
        <v>3126</v>
      </c>
      <c r="G119" s="1" t="s">
        <v>3133</v>
      </c>
      <c r="H119" s="1" t="s">
        <v>2195</v>
      </c>
      <c r="I119" s="1" t="s">
        <v>2195</v>
      </c>
      <c r="J119" s="1" t="s">
        <v>2208</v>
      </c>
      <c r="K119" s="108" t="str">
        <f>IF(AND($A119=Dashboard!$B$8,$C119='Calc Engine'!$B$5),$E119,"")</f>
        <v/>
      </c>
      <c r="L119" s="108">
        <f>IF(NOT(ISNUMBER(Dashboard!$B$11)),999,IF(OR(Dashboard!$B$11&lt;=0,$E119=""),999,ABS($E119-Dashboard!$B$11)))</f>
        <v>0.38500000000000012</v>
      </c>
      <c r="M119" s="108" t="str">
        <f>IF(NOT(ISNUMBER(Dashboard!$B$11)),"",IF(AND(Dashboard!$B$11&gt;0,$L119=MIN($L$2:$L$300)),"Closest overall reference",""))</f>
        <v/>
      </c>
      <c r="N119" s="108">
        <f>IF(NOT(ISNUMBER(Dashboard!$B$11)),999,IF(AND(Dashboard!$B$11&gt;0,$A119=Dashboard!$B$8,$E119&lt;&gt;""),ABS($E119-Dashboard!$B$11),999))</f>
        <v>999</v>
      </c>
      <c r="O119" s="108" t="str">
        <f>IF(NOT(ISNUMBER(Dashboard!$B$11)),"",IF(AND(Dashboard!$B$11&gt;0,$N119=MIN($N$2:$N$300)),"Closest same-material reference",""))</f>
        <v/>
      </c>
      <c r="P119" s="108" t="str">
        <f>IF(AND($A119=Dashboard!$B$8,$C119='Calc Engine'!$B$5,$E119&lt;&gt;""),$E119,"")</f>
        <v/>
      </c>
      <c r="Q119" s="108">
        <f>IF(NOT(ISNUMBER(Dashboard!$B$11)),-999,IF(AND($P119&lt;&gt;"",Dashboard!$B$11&gt;0,$P119&lt;=Dashboard!$B$11),$P119,-999))</f>
        <v>-999</v>
      </c>
      <c r="R119" s="108">
        <f>IF(NOT(ISNUMBER(Dashboard!$B$11)),999,IF(AND($P119&lt;&gt;"",Dashboard!$B$11&gt;0,$P119&gt;=Dashboard!$B$11),$P119,999))</f>
        <v>999</v>
      </c>
      <c r="S119" s="108" t="str">
        <f t="shared" si="1"/>
        <v/>
      </c>
    </row>
    <row r="120" spans="1:19" ht="123" customHeight="1">
      <c r="A120" s="1" t="s">
        <v>927</v>
      </c>
      <c r="B120" s="1" t="s">
        <v>3012</v>
      </c>
      <c r="C120" s="1">
        <v>39</v>
      </c>
      <c r="D120" s="1">
        <v>1.5</v>
      </c>
      <c r="E120" s="1">
        <v>0.96499999999999997</v>
      </c>
      <c r="F120" s="1" t="s">
        <v>3126</v>
      </c>
      <c r="G120" s="1" t="s">
        <v>3134</v>
      </c>
      <c r="H120" s="1" t="s">
        <v>2195</v>
      </c>
      <c r="I120" s="1" t="s">
        <v>2195</v>
      </c>
      <c r="J120" s="1" t="s">
        <v>2208</v>
      </c>
      <c r="K120" s="108" t="str">
        <f>IF(AND($A120=Dashboard!$B$8,$C120='Calc Engine'!$B$5),$E120,"")</f>
        <v/>
      </c>
      <c r="L120" s="108">
        <f>IF(NOT(ISNUMBER(Dashboard!$B$11)),999,IF(OR(Dashboard!$B$11&lt;=0,$E120=""),999,ABS($E120-Dashboard!$B$11)))</f>
        <v>0.38500000000000012</v>
      </c>
      <c r="M120" s="108" t="str">
        <f>IF(NOT(ISNUMBER(Dashboard!$B$11)),"",IF(AND(Dashboard!$B$11&gt;0,$L120=MIN($L$2:$L$300)),"Closest overall reference",""))</f>
        <v/>
      </c>
      <c r="N120" s="108">
        <f>IF(NOT(ISNUMBER(Dashboard!$B$11)),999,IF(AND(Dashboard!$B$11&gt;0,$A120=Dashboard!$B$8,$E120&lt;&gt;""),ABS($E120-Dashboard!$B$11),999))</f>
        <v>999</v>
      </c>
      <c r="O120" s="108" t="str">
        <f>IF(NOT(ISNUMBER(Dashboard!$B$11)),"",IF(AND(Dashboard!$B$11&gt;0,$N120=MIN($N$2:$N$300)),"Closest same-material reference",""))</f>
        <v/>
      </c>
      <c r="P120" s="108" t="str">
        <f>IF(AND($A120=Dashboard!$B$8,$C120='Calc Engine'!$B$5,$E120&lt;&gt;""),$E120,"")</f>
        <v/>
      </c>
      <c r="Q120" s="108">
        <f>IF(NOT(ISNUMBER(Dashboard!$B$11)),-999,IF(AND($P120&lt;&gt;"",Dashboard!$B$11&gt;0,$P120&lt;=Dashboard!$B$11),$P120,-999))</f>
        <v>-999</v>
      </c>
      <c r="R120" s="108">
        <f>IF(NOT(ISNUMBER(Dashboard!$B$11)),999,IF(AND($P120&lt;&gt;"",Dashboard!$B$11&gt;0,$P120&gt;=Dashboard!$B$11),$P120,999))</f>
        <v>999</v>
      </c>
      <c r="S120" s="108" t="str">
        <f t="shared" si="1"/>
        <v/>
      </c>
    </row>
    <row r="121" spans="1:19" ht="123" customHeight="1">
      <c r="A121" s="1" t="s">
        <v>927</v>
      </c>
      <c r="B121" s="1" t="s">
        <v>3015</v>
      </c>
      <c r="C121" s="1">
        <v>39</v>
      </c>
      <c r="D121" s="1">
        <v>1.5</v>
      </c>
      <c r="E121" s="1">
        <v>0.96499999999999997</v>
      </c>
      <c r="F121" s="1" t="s">
        <v>3126</v>
      </c>
      <c r="G121" s="1" t="s">
        <v>3135</v>
      </c>
      <c r="H121" s="1" t="s">
        <v>2195</v>
      </c>
      <c r="I121" s="1" t="s">
        <v>2195</v>
      </c>
      <c r="J121" s="1" t="s">
        <v>2208</v>
      </c>
      <c r="K121" s="108" t="str">
        <f>IF(AND($A121=Dashboard!$B$8,$C121='Calc Engine'!$B$5),$E121,"")</f>
        <v/>
      </c>
      <c r="L121" s="108">
        <f>IF(NOT(ISNUMBER(Dashboard!$B$11)),999,IF(OR(Dashboard!$B$11&lt;=0,$E121=""),999,ABS($E121-Dashboard!$B$11)))</f>
        <v>0.38500000000000012</v>
      </c>
      <c r="M121" s="108" t="str">
        <f>IF(NOT(ISNUMBER(Dashboard!$B$11)),"",IF(AND(Dashboard!$B$11&gt;0,$L121=MIN($L$2:$L$300)),"Closest overall reference",""))</f>
        <v/>
      </c>
      <c r="N121" s="108">
        <f>IF(NOT(ISNUMBER(Dashboard!$B$11)),999,IF(AND(Dashboard!$B$11&gt;0,$A121=Dashboard!$B$8,$E121&lt;&gt;""),ABS($E121-Dashboard!$B$11),999))</f>
        <v>999</v>
      </c>
      <c r="O121" s="108" t="str">
        <f>IF(NOT(ISNUMBER(Dashboard!$B$11)),"",IF(AND(Dashboard!$B$11&gt;0,$N121=MIN($N$2:$N$300)),"Closest same-material reference",""))</f>
        <v/>
      </c>
      <c r="P121" s="108" t="str">
        <f>IF(AND($A121=Dashboard!$B$8,$C121='Calc Engine'!$B$5,$E121&lt;&gt;""),$E121,"")</f>
        <v/>
      </c>
      <c r="Q121" s="108">
        <f>IF(NOT(ISNUMBER(Dashboard!$B$11)),-999,IF(AND($P121&lt;&gt;"",Dashboard!$B$11&gt;0,$P121&lt;=Dashboard!$B$11),$P121,-999))</f>
        <v>-999</v>
      </c>
      <c r="R121" s="108">
        <f>IF(NOT(ISNUMBER(Dashboard!$B$11)),999,IF(AND($P121&lt;&gt;"",Dashboard!$B$11&gt;0,$P121&gt;=Dashboard!$B$11),$P121,999))</f>
        <v>999</v>
      </c>
      <c r="S121" s="108" t="str">
        <f t="shared" si="1"/>
        <v/>
      </c>
    </row>
    <row r="122" spans="1:19" ht="123" customHeight="1">
      <c r="A122" s="1" t="s">
        <v>927</v>
      </c>
      <c r="B122" s="1" t="s">
        <v>2181</v>
      </c>
      <c r="C122" s="1">
        <v>50</v>
      </c>
      <c r="D122" s="1">
        <v>2</v>
      </c>
      <c r="E122" s="1">
        <v>0.81899999999999995</v>
      </c>
      <c r="F122" s="1" t="s">
        <v>3126</v>
      </c>
      <c r="G122" s="1" t="s">
        <v>3136</v>
      </c>
      <c r="H122" s="1" t="s">
        <v>2195</v>
      </c>
      <c r="I122" s="1" t="s">
        <v>2195</v>
      </c>
      <c r="J122" s="1" t="s">
        <v>2208</v>
      </c>
      <c r="K122" s="108" t="str">
        <f>IF(AND($A122=Dashboard!$B$8,$C122='Calc Engine'!$B$5),$E122,"")</f>
        <v/>
      </c>
      <c r="L122" s="108">
        <f>IF(NOT(ISNUMBER(Dashboard!$B$11)),999,IF(OR(Dashboard!$B$11&lt;=0,$E122=""),999,ABS($E122-Dashboard!$B$11)))</f>
        <v>0.53100000000000014</v>
      </c>
      <c r="M122" s="108" t="str">
        <f>IF(NOT(ISNUMBER(Dashboard!$B$11)),"",IF(AND(Dashboard!$B$11&gt;0,$L122=MIN($L$2:$L$300)),"Closest overall reference",""))</f>
        <v/>
      </c>
      <c r="N122" s="108">
        <f>IF(NOT(ISNUMBER(Dashboard!$B$11)),999,IF(AND(Dashboard!$B$11&gt;0,$A122=Dashboard!$B$8,$E122&lt;&gt;""),ABS($E122-Dashboard!$B$11),999))</f>
        <v>999</v>
      </c>
      <c r="O122" s="108" t="str">
        <f>IF(NOT(ISNUMBER(Dashboard!$B$11)),"",IF(AND(Dashboard!$B$11&gt;0,$N122=MIN($N$2:$N$300)),"Closest same-material reference",""))</f>
        <v/>
      </c>
      <c r="P122" s="108" t="str">
        <f>IF(AND($A122=Dashboard!$B$8,$C122='Calc Engine'!$B$5,$E122&lt;&gt;""),$E122,"")</f>
        <v/>
      </c>
      <c r="Q122" s="108">
        <f>IF(NOT(ISNUMBER(Dashboard!$B$11)),-999,IF(AND($P122&lt;&gt;"",Dashboard!$B$11&gt;0,$P122&lt;=Dashboard!$B$11),$P122,-999))</f>
        <v>-999</v>
      </c>
      <c r="R122" s="108">
        <f>IF(NOT(ISNUMBER(Dashboard!$B$11)),999,IF(AND($P122&lt;&gt;"",Dashboard!$B$11&gt;0,$P122&gt;=Dashboard!$B$11),$P122,999))</f>
        <v>999</v>
      </c>
      <c r="S122" s="108" t="str">
        <f t="shared" si="1"/>
        <v/>
      </c>
    </row>
    <row r="123" spans="1:19" ht="123" customHeight="1">
      <c r="A123" s="1" t="s">
        <v>927</v>
      </c>
      <c r="B123" s="1" t="s">
        <v>3012</v>
      </c>
      <c r="C123" s="1">
        <v>50</v>
      </c>
      <c r="D123" s="1">
        <v>2</v>
      </c>
      <c r="E123" s="1">
        <v>0.81899999999999995</v>
      </c>
      <c r="F123" s="1" t="s">
        <v>3126</v>
      </c>
      <c r="G123" s="1" t="s">
        <v>3137</v>
      </c>
      <c r="H123" s="1" t="s">
        <v>2195</v>
      </c>
      <c r="I123" s="1" t="s">
        <v>2195</v>
      </c>
      <c r="J123" s="1" t="s">
        <v>2208</v>
      </c>
      <c r="K123" s="108" t="str">
        <f>IF(AND($A123=Dashboard!$B$8,$C123='Calc Engine'!$B$5),$E123,"")</f>
        <v/>
      </c>
      <c r="L123" s="108">
        <f>IF(NOT(ISNUMBER(Dashboard!$B$11)),999,IF(OR(Dashboard!$B$11&lt;=0,$E123=""),999,ABS($E123-Dashboard!$B$11)))</f>
        <v>0.53100000000000014</v>
      </c>
      <c r="M123" s="108" t="str">
        <f>IF(NOT(ISNUMBER(Dashboard!$B$11)),"",IF(AND(Dashboard!$B$11&gt;0,$L123=MIN($L$2:$L$300)),"Closest overall reference",""))</f>
        <v/>
      </c>
      <c r="N123" s="108">
        <f>IF(NOT(ISNUMBER(Dashboard!$B$11)),999,IF(AND(Dashboard!$B$11&gt;0,$A123=Dashboard!$B$8,$E123&lt;&gt;""),ABS($E123-Dashboard!$B$11),999))</f>
        <v>999</v>
      </c>
      <c r="O123" s="108" t="str">
        <f>IF(NOT(ISNUMBER(Dashboard!$B$11)),"",IF(AND(Dashboard!$B$11&gt;0,$N123=MIN($N$2:$N$300)),"Closest same-material reference",""))</f>
        <v/>
      </c>
      <c r="P123" s="108" t="str">
        <f>IF(AND($A123=Dashboard!$B$8,$C123='Calc Engine'!$B$5,$E123&lt;&gt;""),$E123,"")</f>
        <v/>
      </c>
      <c r="Q123" s="108">
        <f>IF(NOT(ISNUMBER(Dashboard!$B$11)),-999,IF(AND($P123&lt;&gt;"",Dashboard!$B$11&gt;0,$P123&lt;=Dashboard!$B$11),$P123,-999))</f>
        <v>-999</v>
      </c>
      <c r="R123" s="108">
        <f>IF(NOT(ISNUMBER(Dashboard!$B$11)),999,IF(AND($P123&lt;&gt;"",Dashboard!$B$11&gt;0,$P123&gt;=Dashboard!$B$11),$P123,999))</f>
        <v>999</v>
      </c>
      <c r="S123" s="108" t="str">
        <f t="shared" si="1"/>
        <v/>
      </c>
    </row>
    <row r="124" spans="1:19" ht="123" customHeight="1">
      <c r="A124" s="1" t="s">
        <v>927</v>
      </c>
      <c r="B124" s="1" t="s">
        <v>3015</v>
      </c>
      <c r="C124" s="1">
        <v>50</v>
      </c>
      <c r="D124" s="1">
        <v>2</v>
      </c>
      <c r="E124" s="1">
        <v>0.81899999999999995</v>
      </c>
      <c r="F124" s="1" t="s">
        <v>3126</v>
      </c>
      <c r="G124" s="1" t="s">
        <v>3138</v>
      </c>
      <c r="H124" s="1" t="s">
        <v>2195</v>
      </c>
      <c r="I124" s="1" t="s">
        <v>2195</v>
      </c>
      <c r="J124" s="1" t="s">
        <v>2208</v>
      </c>
      <c r="K124" s="108" t="str">
        <f>IF(AND($A124=Dashboard!$B$8,$C124='Calc Engine'!$B$5),$E124,"")</f>
        <v/>
      </c>
      <c r="L124" s="108">
        <f>IF(NOT(ISNUMBER(Dashboard!$B$11)),999,IF(OR(Dashboard!$B$11&lt;=0,$E124=""),999,ABS($E124-Dashboard!$B$11)))</f>
        <v>0.53100000000000014</v>
      </c>
      <c r="M124" s="108" t="str">
        <f>IF(NOT(ISNUMBER(Dashboard!$B$11)),"",IF(AND(Dashboard!$B$11&gt;0,$L124=MIN($L$2:$L$300)),"Closest overall reference",""))</f>
        <v/>
      </c>
      <c r="N124" s="108">
        <f>IF(NOT(ISNUMBER(Dashboard!$B$11)),999,IF(AND(Dashboard!$B$11&gt;0,$A124=Dashboard!$B$8,$E124&lt;&gt;""),ABS($E124-Dashboard!$B$11),999))</f>
        <v>999</v>
      </c>
      <c r="O124" s="108" t="str">
        <f>IF(NOT(ISNUMBER(Dashboard!$B$11)),"",IF(AND(Dashboard!$B$11&gt;0,$N124=MIN($N$2:$N$300)),"Closest same-material reference",""))</f>
        <v/>
      </c>
      <c r="P124" s="108" t="str">
        <f>IF(AND($A124=Dashboard!$B$8,$C124='Calc Engine'!$B$5,$E124&lt;&gt;""),$E124,"")</f>
        <v/>
      </c>
      <c r="Q124" s="108">
        <f>IF(NOT(ISNUMBER(Dashboard!$B$11)),-999,IF(AND($P124&lt;&gt;"",Dashboard!$B$11&gt;0,$P124&lt;=Dashboard!$B$11),$P124,-999))</f>
        <v>-999</v>
      </c>
      <c r="R124" s="108">
        <f>IF(NOT(ISNUMBER(Dashboard!$B$11)),999,IF(AND($P124&lt;&gt;"",Dashboard!$B$11&gt;0,$P124&gt;=Dashboard!$B$11),$P124,999))</f>
        <v>999</v>
      </c>
      <c r="S124" s="108" t="str">
        <f t="shared" si="1"/>
        <v/>
      </c>
    </row>
    <row r="125" spans="1:19" ht="123" customHeight="1">
      <c r="A125" s="1" t="s">
        <v>927</v>
      </c>
      <c r="B125" s="1" t="s">
        <v>2181</v>
      </c>
      <c r="C125" s="1">
        <v>72</v>
      </c>
      <c r="D125" s="1">
        <v>2</v>
      </c>
      <c r="E125" s="1">
        <v>0.72299999999999998</v>
      </c>
      <c r="F125" s="1" t="s">
        <v>3126</v>
      </c>
      <c r="G125" s="1" t="s">
        <v>3139</v>
      </c>
      <c r="H125" s="1" t="s">
        <v>2195</v>
      </c>
      <c r="I125" s="1" t="s">
        <v>2195</v>
      </c>
      <c r="J125" s="1" t="s">
        <v>2208</v>
      </c>
      <c r="K125" s="108" t="str">
        <f>IF(AND($A125=Dashboard!$B$8,$C125='Calc Engine'!$B$5),$E125,"")</f>
        <v/>
      </c>
      <c r="L125" s="108">
        <f>IF(NOT(ISNUMBER(Dashboard!$B$11)),999,IF(OR(Dashboard!$B$11&lt;=0,$E125=""),999,ABS($E125-Dashboard!$B$11)))</f>
        <v>0.62700000000000011</v>
      </c>
      <c r="M125" s="108" t="str">
        <f>IF(NOT(ISNUMBER(Dashboard!$B$11)),"",IF(AND(Dashboard!$B$11&gt;0,$L125=MIN($L$2:$L$300)),"Closest overall reference",""))</f>
        <v/>
      </c>
      <c r="N125" s="108">
        <f>IF(NOT(ISNUMBER(Dashboard!$B$11)),999,IF(AND(Dashboard!$B$11&gt;0,$A125=Dashboard!$B$8,$E125&lt;&gt;""),ABS($E125-Dashboard!$B$11),999))</f>
        <v>999</v>
      </c>
      <c r="O125" s="108" t="str">
        <f>IF(NOT(ISNUMBER(Dashboard!$B$11)),"",IF(AND(Dashboard!$B$11&gt;0,$N125=MIN($N$2:$N$300)),"Closest same-material reference",""))</f>
        <v/>
      </c>
      <c r="P125" s="108" t="str">
        <f>IF(AND($A125=Dashboard!$B$8,$C125='Calc Engine'!$B$5,$E125&lt;&gt;""),$E125,"")</f>
        <v/>
      </c>
      <c r="Q125" s="108">
        <f>IF(NOT(ISNUMBER(Dashboard!$B$11)),-999,IF(AND($P125&lt;&gt;"",Dashboard!$B$11&gt;0,$P125&lt;=Dashboard!$B$11),$P125,-999))</f>
        <v>-999</v>
      </c>
      <c r="R125" s="108">
        <f>IF(NOT(ISNUMBER(Dashboard!$B$11)),999,IF(AND($P125&lt;&gt;"",Dashboard!$B$11&gt;0,$P125&gt;=Dashboard!$B$11),$P125,999))</f>
        <v>999</v>
      </c>
      <c r="S125" s="108" t="str">
        <f t="shared" si="1"/>
        <v/>
      </c>
    </row>
    <row r="126" spans="1:19" ht="123" customHeight="1">
      <c r="A126" s="1" t="s">
        <v>927</v>
      </c>
      <c r="B126" s="1" t="s">
        <v>3012</v>
      </c>
      <c r="C126" s="1">
        <v>72</v>
      </c>
      <c r="D126" s="1">
        <v>2</v>
      </c>
      <c r="E126" s="1">
        <v>0.72299999999999998</v>
      </c>
      <c r="F126" s="1" t="s">
        <v>3126</v>
      </c>
      <c r="G126" s="1" t="s">
        <v>3140</v>
      </c>
      <c r="H126" s="1" t="s">
        <v>2195</v>
      </c>
      <c r="I126" s="1" t="s">
        <v>2195</v>
      </c>
      <c r="J126" s="1" t="s">
        <v>2208</v>
      </c>
      <c r="K126" s="108" t="str">
        <f>IF(AND($A126=Dashboard!$B$8,$C126='Calc Engine'!$B$5),$E126,"")</f>
        <v/>
      </c>
      <c r="L126" s="108">
        <f>IF(NOT(ISNUMBER(Dashboard!$B$11)),999,IF(OR(Dashboard!$B$11&lt;=0,$E126=""),999,ABS($E126-Dashboard!$B$11)))</f>
        <v>0.62700000000000011</v>
      </c>
      <c r="M126" s="108" t="str">
        <f>IF(NOT(ISNUMBER(Dashboard!$B$11)),"",IF(AND(Dashboard!$B$11&gt;0,$L126=MIN($L$2:$L$300)),"Closest overall reference",""))</f>
        <v/>
      </c>
      <c r="N126" s="108">
        <f>IF(NOT(ISNUMBER(Dashboard!$B$11)),999,IF(AND(Dashboard!$B$11&gt;0,$A126=Dashboard!$B$8,$E126&lt;&gt;""),ABS($E126-Dashboard!$B$11),999))</f>
        <v>999</v>
      </c>
      <c r="O126" s="108" t="str">
        <f>IF(NOT(ISNUMBER(Dashboard!$B$11)),"",IF(AND(Dashboard!$B$11&gt;0,$N126=MIN($N$2:$N$300)),"Closest same-material reference",""))</f>
        <v/>
      </c>
      <c r="P126" s="108" t="str">
        <f>IF(AND($A126=Dashboard!$B$8,$C126='Calc Engine'!$B$5,$E126&lt;&gt;""),$E126,"")</f>
        <v/>
      </c>
      <c r="Q126" s="108">
        <f>IF(NOT(ISNUMBER(Dashboard!$B$11)),-999,IF(AND($P126&lt;&gt;"",Dashboard!$B$11&gt;0,$P126&lt;=Dashboard!$B$11),$P126,-999))</f>
        <v>-999</v>
      </c>
      <c r="R126" s="108">
        <f>IF(NOT(ISNUMBER(Dashboard!$B$11)),999,IF(AND($P126&lt;&gt;"",Dashboard!$B$11&gt;0,$P126&gt;=Dashboard!$B$11),$P126,999))</f>
        <v>999</v>
      </c>
      <c r="S126" s="108" t="str">
        <f t="shared" si="1"/>
        <v/>
      </c>
    </row>
    <row r="127" spans="1:19" ht="123" customHeight="1">
      <c r="A127" s="1" t="s">
        <v>927</v>
      </c>
      <c r="B127" s="1" t="s">
        <v>3015</v>
      </c>
      <c r="C127" s="1">
        <v>72</v>
      </c>
      <c r="D127" s="1">
        <v>2</v>
      </c>
      <c r="E127" s="1">
        <v>0.72299999999999998</v>
      </c>
      <c r="F127" s="1" t="s">
        <v>3126</v>
      </c>
      <c r="G127" s="1" t="s">
        <v>3141</v>
      </c>
      <c r="H127" s="1" t="s">
        <v>2195</v>
      </c>
      <c r="I127" s="1" t="s">
        <v>2195</v>
      </c>
      <c r="J127" s="1" t="s">
        <v>2208</v>
      </c>
      <c r="K127" s="108" t="str">
        <f>IF(AND($A127=Dashboard!$B$8,$C127='Calc Engine'!$B$5),$E127,"")</f>
        <v/>
      </c>
      <c r="L127" s="108">
        <f>IF(NOT(ISNUMBER(Dashboard!$B$11)),999,IF(OR(Dashboard!$B$11&lt;=0,$E127=""),999,ABS($E127-Dashboard!$B$11)))</f>
        <v>0.62700000000000011</v>
      </c>
      <c r="M127" s="108" t="str">
        <f>IF(NOT(ISNUMBER(Dashboard!$B$11)),"",IF(AND(Dashboard!$B$11&gt;0,$L127=MIN($L$2:$L$300)),"Closest overall reference",""))</f>
        <v/>
      </c>
      <c r="N127" s="108">
        <f>IF(NOT(ISNUMBER(Dashboard!$B$11)),999,IF(AND(Dashboard!$B$11&gt;0,$A127=Dashboard!$B$8,$E127&lt;&gt;""),ABS($E127-Dashboard!$B$11),999))</f>
        <v>999</v>
      </c>
      <c r="O127" s="108" t="str">
        <f>IF(NOT(ISNUMBER(Dashboard!$B$11)),"",IF(AND(Dashboard!$B$11&gt;0,$N127=MIN($N$2:$N$300)),"Closest same-material reference",""))</f>
        <v/>
      </c>
      <c r="P127" s="108" t="str">
        <f>IF(AND($A127=Dashboard!$B$8,$C127='Calc Engine'!$B$5,$E127&lt;&gt;""),$E127,"")</f>
        <v/>
      </c>
      <c r="Q127" s="108">
        <f>IF(NOT(ISNUMBER(Dashboard!$B$11)),-999,IF(AND($P127&lt;&gt;"",Dashboard!$B$11&gt;0,$P127&lt;=Dashboard!$B$11),$P127,-999))</f>
        <v>-999</v>
      </c>
      <c r="R127" s="108">
        <f>IF(NOT(ISNUMBER(Dashboard!$B$11)),999,IF(AND($P127&lt;&gt;"",Dashboard!$B$11&gt;0,$P127&gt;=Dashboard!$B$11),$P127,999))</f>
        <v>999</v>
      </c>
      <c r="S127" s="108" t="str">
        <f t="shared" si="1"/>
        <v/>
      </c>
    </row>
    <row r="128" spans="1:19" ht="123" customHeight="1">
      <c r="A128" s="1" t="s">
        <v>927</v>
      </c>
      <c r="B128" s="1" t="s">
        <v>2181</v>
      </c>
      <c r="C128" s="1">
        <v>103</v>
      </c>
      <c r="D128" s="1">
        <v>2.5</v>
      </c>
      <c r="E128" s="1">
        <v>0.57499999999999996</v>
      </c>
      <c r="F128" s="1" t="s">
        <v>3126</v>
      </c>
      <c r="G128" s="1" t="s">
        <v>3142</v>
      </c>
      <c r="H128" s="1" t="s">
        <v>2195</v>
      </c>
      <c r="I128" s="1" t="s">
        <v>2195</v>
      </c>
      <c r="J128" s="1" t="s">
        <v>2208</v>
      </c>
      <c r="K128" s="108" t="str">
        <f>IF(AND($A128=Dashboard!$B$8,$C128='Calc Engine'!$B$5),$E128,"")</f>
        <v/>
      </c>
      <c r="L128" s="108">
        <f>IF(NOT(ISNUMBER(Dashboard!$B$11)),999,IF(OR(Dashboard!$B$11&lt;=0,$E128=""),999,ABS($E128-Dashboard!$B$11)))</f>
        <v>0.77500000000000013</v>
      </c>
      <c r="M128" s="108" t="str">
        <f>IF(NOT(ISNUMBER(Dashboard!$B$11)),"",IF(AND(Dashboard!$B$11&gt;0,$L128=MIN($L$2:$L$300)),"Closest overall reference",""))</f>
        <v/>
      </c>
      <c r="N128" s="108">
        <f>IF(NOT(ISNUMBER(Dashboard!$B$11)),999,IF(AND(Dashboard!$B$11&gt;0,$A128=Dashboard!$B$8,$E128&lt;&gt;""),ABS($E128-Dashboard!$B$11),999))</f>
        <v>999</v>
      </c>
      <c r="O128" s="108" t="str">
        <f>IF(NOT(ISNUMBER(Dashboard!$B$11)),"",IF(AND(Dashboard!$B$11&gt;0,$N128=MIN($N$2:$N$300)),"Closest same-material reference",""))</f>
        <v/>
      </c>
      <c r="P128" s="108" t="str">
        <f>IF(AND($A128=Dashboard!$B$8,$C128='Calc Engine'!$B$5,$E128&lt;&gt;""),$E128,"")</f>
        <v/>
      </c>
      <c r="Q128" s="108">
        <f>IF(NOT(ISNUMBER(Dashboard!$B$11)),-999,IF(AND($P128&lt;&gt;"",Dashboard!$B$11&gt;0,$P128&lt;=Dashboard!$B$11),$P128,-999))</f>
        <v>-999</v>
      </c>
      <c r="R128" s="108">
        <f>IF(NOT(ISNUMBER(Dashboard!$B$11)),999,IF(AND($P128&lt;&gt;"",Dashboard!$B$11&gt;0,$P128&gt;=Dashboard!$B$11),$P128,999))</f>
        <v>999</v>
      </c>
      <c r="S128" s="108" t="str">
        <f t="shared" si="1"/>
        <v/>
      </c>
    </row>
    <row r="129" spans="1:19" ht="123" customHeight="1">
      <c r="A129" s="1" t="s">
        <v>927</v>
      </c>
      <c r="B129" s="1" t="s">
        <v>3012</v>
      </c>
      <c r="C129" s="1">
        <v>103</v>
      </c>
      <c r="D129" s="1">
        <v>2.5</v>
      </c>
      <c r="E129" s="1">
        <v>0.57499999999999996</v>
      </c>
      <c r="F129" s="1" t="s">
        <v>3126</v>
      </c>
      <c r="G129" s="1" t="s">
        <v>3143</v>
      </c>
      <c r="H129" s="1" t="s">
        <v>2195</v>
      </c>
      <c r="I129" s="1" t="s">
        <v>2195</v>
      </c>
      <c r="J129" s="1" t="s">
        <v>2208</v>
      </c>
      <c r="K129" s="108" t="str">
        <f>IF(AND($A129=Dashboard!$B$8,$C129='Calc Engine'!$B$5),$E129,"")</f>
        <v/>
      </c>
      <c r="L129" s="108">
        <f>IF(NOT(ISNUMBER(Dashboard!$B$11)),999,IF(OR(Dashboard!$B$11&lt;=0,$E129=""),999,ABS($E129-Dashboard!$B$11)))</f>
        <v>0.77500000000000013</v>
      </c>
      <c r="M129" s="108" t="str">
        <f>IF(NOT(ISNUMBER(Dashboard!$B$11)),"",IF(AND(Dashboard!$B$11&gt;0,$L129=MIN($L$2:$L$300)),"Closest overall reference",""))</f>
        <v/>
      </c>
      <c r="N129" s="108">
        <f>IF(NOT(ISNUMBER(Dashboard!$B$11)),999,IF(AND(Dashboard!$B$11&gt;0,$A129=Dashboard!$B$8,$E129&lt;&gt;""),ABS($E129-Dashboard!$B$11),999))</f>
        <v>999</v>
      </c>
      <c r="O129" s="108" t="str">
        <f>IF(NOT(ISNUMBER(Dashboard!$B$11)),"",IF(AND(Dashboard!$B$11&gt;0,$N129=MIN($N$2:$N$300)),"Closest same-material reference",""))</f>
        <v/>
      </c>
      <c r="P129" s="108" t="str">
        <f>IF(AND($A129=Dashboard!$B$8,$C129='Calc Engine'!$B$5,$E129&lt;&gt;""),$E129,"")</f>
        <v/>
      </c>
      <c r="Q129" s="108">
        <f>IF(NOT(ISNUMBER(Dashboard!$B$11)),-999,IF(AND($P129&lt;&gt;"",Dashboard!$B$11&gt;0,$P129&lt;=Dashboard!$B$11),$P129,-999))</f>
        <v>-999</v>
      </c>
      <c r="R129" s="108">
        <f>IF(NOT(ISNUMBER(Dashboard!$B$11)),999,IF(AND($P129&lt;&gt;"",Dashboard!$B$11&gt;0,$P129&gt;=Dashboard!$B$11),$P129,999))</f>
        <v>999</v>
      </c>
      <c r="S129" s="108" t="str">
        <f t="shared" si="1"/>
        <v/>
      </c>
    </row>
    <row r="130" spans="1:19" ht="123" customHeight="1">
      <c r="A130" s="1" t="s">
        <v>927</v>
      </c>
      <c r="B130" s="1" t="s">
        <v>3015</v>
      </c>
      <c r="C130" s="1">
        <v>103</v>
      </c>
      <c r="D130" s="1">
        <v>2.5</v>
      </c>
      <c r="E130" s="1">
        <v>0.57499999999999996</v>
      </c>
      <c r="F130" s="1" t="s">
        <v>3126</v>
      </c>
      <c r="G130" s="1" t="s">
        <v>3144</v>
      </c>
      <c r="H130" s="1" t="s">
        <v>2195</v>
      </c>
      <c r="I130" s="1" t="s">
        <v>2195</v>
      </c>
      <c r="J130" s="1" t="s">
        <v>2208</v>
      </c>
      <c r="K130" s="108" t="str">
        <f>IF(AND($A130=Dashboard!$B$8,$C130='Calc Engine'!$B$5),$E130,"")</f>
        <v/>
      </c>
      <c r="L130" s="108">
        <f>IF(NOT(ISNUMBER(Dashboard!$B$11)),999,IF(OR(Dashboard!$B$11&lt;=0,$E130=""),999,ABS($E130-Dashboard!$B$11)))</f>
        <v>0.77500000000000013</v>
      </c>
      <c r="M130" s="108" t="str">
        <f>IF(NOT(ISNUMBER(Dashboard!$B$11)),"",IF(AND(Dashboard!$B$11&gt;0,$L130=MIN($L$2:$L$300)),"Closest overall reference",""))</f>
        <v/>
      </c>
      <c r="N130" s="108">
        <f>IF(NOT(ISNUMBER(Dashboard!$B$11)),999,IF(AND(Dashboard!$B$11&gt;0,$A130=Dashboard!$B$8,$E130&lt;&gt;""),ABS($E130-Dashboard!$B$11),999))</f>
        <v>999</v>
      </c>
      <c r="O130" s="108" t="str">
        <f>IF(NOT(ISNUMBER(Dashboard!$B$11)),"",IF(AND(Dashboard!$B$11&gt;0,$N130=MIN($N$2:$N$300)),"Closest same-material reference",""))</f>
        <v/>
      </c>
      <c r="P130" s="108" t="str">
        <f>IF(AND($A130=Dashboard!$B$8,$C130='Calc Engine'!$B$5,$E130&lt;&gt;""),$E130,"")</f>
        <v/>
      </c>
      <c r="Q130" s="108">
        <f>IF(NOT(ISNUMBER(Dashboard!$B$11)),-999,IF(AND($P130&lt;&gt;"",Dashboard!$B$11&gt;0,$P130&lt;=Dashboard!$B$11),$P130,-999))</f>
        <v>-999</v>
      </c>
      <c r="R130" s="108">
        <f>IF(NOT(ISNUMBER(Dashboard!$B$11)),999,IF(AND($P130&lt;&gt;"",Dashboard!$B$11&gt;0,$P130&gt;=Dashboard!$B$11),$P130,999))</f>
        <v>999</v>
      </c>
      <c r="S130" s="108" t="str">
        <f t="shared" ref="S130:S193" si="2">IF($P130="","",$D130)</f>
        <v/>
      </c>
    </row>
    <row r="131" spans="1:19" ht="27.4" customHeight="1">
      <c r="A131" s="1" t="s">
        <v>2145</v>
      </c>
      <c r="B131" s="1" t="s">
        <v>2186</v>
      </c>
      <c r="C131" s="1">
        <v>80</v>
      </c>
      <c r="D131" s="1">
        <v>7</v>
      </c>
      <c r="E131" s="1">
        <v>1.3260000000000001</v>
      </c>
      <c r="F131" s="1" t="s">
        <v>3010</v>
      </c>
      <c r="G131" s="1" t="s">
        <v>3145</v>
      </c>
      <c r="H131" s="1" t="s">
        <v>2195</v>
      </c>
      <c r="I131" s="1" t="s">
        <v>2195</v>
      </c>
      <c r="J131" s="1" t="s">
        <v>2208</v>
      </c>
      <c r="K131" s="108" t="str">
        <f>IF(AND($A131=Dashboard!$B$8,$C131='Calc Engine'!$B$5),$E131,"")</f>
        <v/>
      </c>
      <c r="L131" s="108">
        <f>IF(NOT(ISNUMBER(Dashboard!$B$11)),999,IF(OR(Dashboard!$B$11&lt;=0,$E131=""),999,ABS($E131-Dashboard!$B$11)))</f>
        <v>2.4000000000000021E-2</v>
      </c>
      <c r="M131" s="108" t="str">
        <f>IF(NOT(ISNUMBER(Dashboard!$B$11)),"",IF(AND(Dashboard!$B$11&gt;0,$L131=MIN($L$2:$L$300)),"Closest overall reference",""))</f>
        <v/>
      </c>
      <c r="N131" s="108">
        <f>IF(NOT(ISNUMBER(Dashboard!$B$11)),999,IF(AND(Dashboard!$B$11&gt;0,$A131=Dashboard!$B$8,$E131&lt;&gt;""),ABS($E131-Dashboard!$B$11),999))</f>
        <v>999</v>
      </c>
      <c r="O131" s="108" t="str">
        <f>IF(NOT(ISNUMBER(Dashboard!$B$11)),"",IF(AND(Dashboard!$B$11&gt;0,$N131=MIN($N$2:$N$300)),"Closest same-material reference",""))</f>
        <v/>
      </c>
      <c r="P131" s="108" t="str">
        <f>IF(AND($A131=Dashboard!$B$8,$C131='Calc Engine'!$B$5,$E131&lt;&gt;""),$E131,"")</f>
        <v/>
      </c>
      <c r="Q131" s="108">
        <f>IF(NOT(ISNUMBER(Dashboard!$B$11)),-999,IF(AND($P131&lt;&gt;"",Dashboard!$B$11&gt;0,$P131&lt;=Dashboard!$B$11),$P131,-999))</f>
        <v>-999</v>
      </c>
      <c r="R131" s="108">
        <f>IF(NOT(ISNUMBER(Dashboard!$B$11)),999,IF(AND($P131&lt;&gt;"",Dashboard!$B$11&gt;0,$P131&gt;=Dashboard!$B$11),$P131,999))</f>
        <v>999</v>
      </c>
      <c r="S131" s="108" t="str">
        <f t="shared" si="2"/>
        <v/>
      </c>
    </row>
    <row r="132" spans="1:19" ht="27.4" customHeight="1">
      <c r="A132" s="1" t="s">
        <v>2145</v>
      </c>
      <c r="B132" s="1" t="s">
        <v>2192</v>
      </c>
      <c r="C132" s="1">
        <v>80</v>
      </c>
      <c r="D132" s="1">
        <v>8.1</v>
      </c>
      <c r="E132" s="1">
        <v>1.3380000000000001</v>
      </c>
      <c r="F132" s="1" t="s">
        <v>3010</v>
      </c>
      <c r="G132" s="1" t="s">
        <v>3146</v>
      </c>
      <c r="H132" s="1" t="s">
        <v>2195</v>
      </c>
      <c r="I132" s="1" t="s">
        <v>2195</v>
      </c>
      <c r="J132" s="1" t="s">
        <v>2208</v>
      </c>
      <c r="K132" s="108" t="str">
        <f>IF(AND($A132=Dashboard!$B$8,$C132='Calc Engine'!$B$5),$E132,"")</f>
        <v/>
      </c>
      <c r="L132" s="108">
        <f>IF(NOT(ISNUMBER(Dashboard!$B$11)),999,IF(OR(Dashboard!$B$11&lt;=0,$E132=""),999,ABS($E132-Dashboard!$B$11)))</f>
        <v>1.2000000000000011E-2</v>
      </c>
      <c r="M132" s="108" t="str">
        <f>IF(NOT(ISNUMBER(Dashboard!$B$11)),"",IF(AND(Dashboard!$B$11&gt;0,$L132=MIN($L$2:$L$300)),"Closest overall reference",""))</f>
        <v/>
      </c>
      <c r="N132" s="108">
        <f>IF(NOT(ISNUMBER(Dashboard!$B$11)),999,IF(AND(Dashboard!$B$11&gt;0,$A132=Dashboard!$B$8,$E132&lt;&gt;""),ABS($E132-Dashboard!$B$11),999))</f>
        <v>999</v>
      </c>
      <c r="O132" s="108" t="str">
        <f>IF(NOT(ISNUMBER(Dashboard!$B$11)),"",IF(AND(Dashboard!$B$11&gt;0,$N132=MIN($N$2:$N$300)),"Closest same-material reference",""))</f>
        <v/>
      </c>
      <c r="P132" s="108" t="str">
        <f>IF(AND($A132=Dashboard!$B$8,$C132='Calc Engine'!$B$5,$E132&lt;&gt;""),$E132,"")</f>
        <v/>
      </c>
      <c r="Q132" s="108">
        <f>IF(NOT(ISNUMBER(Dashboard!$B$11)),-999,IF(AND($P132&lt;&gt;"",Dashboard!$B$11&gt;0,$P132&lt;=Dashboard!$B$11),$P132,-999))</f>
        <v>-999</v>
      </c>
      <c r="R132" s="108">
        <f>IF(NOT(ISNUMBER(Dashboard!$B$11)),999,IF(AND($P132&lt;&gt;"",Dashboard!$B$11&gt;0,$P132&gt;=Dashboard!$B$11),$P132,999))</f>
        <v>999</v>
      </c>
      <c r="S132" s="108" t="str">
        <f t="shared" si="2"/>
        <v/>
      </c>
    </row>
    <row r="133" spans="1:19" ht="27.4" customHeight="1">
      <c r="A133" s="1" t="s">
        <v>2145</v>
      </c>
      <c r="B133" s="1" t="s">
        <v>2179</v>
      </c>
      <c r="C133" s="1">
        <v>80</v>
      </c>
      <c r="D133" s="1">
        <v>6</v>
      </c>
      <c r="E133" s="1">
        <v>1.3129999999999999</v>
      </c>
      <c r="F133" s="1" t="s">
        <v>3010</v>
      </c>
      <c r="G133" s="1" t="s">
        <v>3147</v>
      </c>
      <c r="H133" s="1" t="s">
        <v>2195</v>
      </c>
      <c r="I133" s="1" t="s">
        <v>2195</v>
      </c>
      <c r="J133" s="1" t="s">
        <v>2208</v>
      </c>
      <c r="K133" s="108" t="str">
        <f>IF(AND($A133=Dashboard!$B$8,$C133='Calc Engine'!$B$5),$E133,"")</f>
        <v/>
      </c>
      <c r="L133" s="108">
        <f>IF(NOT(ISNUMBER(Dashboard!$B$11)),999,IF(OR(Dashboard!$B$11&lt;=0,$E133=""),999,ABS($E133-Dashboard!$B$11)))</f>
        <v>3.7000000000000144E-2</v>
      </c>
      <c r="M133" s="108" t="str">
        <f>IF(NOT(ISNUMBER(Dashboard!$B$11)),"",IF(AND(Dashboard!$B$11&gt;0,$L133=MIN($L$2:$L$300)),"Closest overall reference",""))</f>
        <v/>
      </c>
      <c r="N133" s="108">
        <f>IF(NOT(ISNUMBER(Dashboard!$B$11)),999,IF(AND(Dashboard!$B$11&gt;0,$A133=Dashboard!$B$8,$E133&lt;&gt;""),ABS($E133-Dashboard!$B$11),999))</f>
        <v>999</v>
      </c>
      <c r="O133" s="108" t="str">
        <f>IF(NOT(ISNUMBER(Dashboard!$B$11)),"",IF(AND(Dashboard!$B$11&gt;0,$N133=MIN($N$2:$N$300)),"Closest same-material reference",""))</f>
        <v/>
      </c>
      <c r="P133" s="108" t="str">
        <f>IF(AND($A133=Dashboard!$B$8,$C133='Calc Engine'!$B$5,$E133&lt;&gt;""),$E133,"")</f>
        <v/>
      </c>
      <c r="Q133" s="108">
        <f>IF(NOT(ISNUMBER(Dashboard!$B$11)),-999,IF(AND($P133&lt;&gt;"",Dashboard!$B$11&gt;0,$P133&lt;=Dashboard!$B$11),$P133,-999))</f>
        <v>-999</v>
      </c>
      <c r="R133" s="108">
        <f>IF(NOT(ISNUMBER(Dashboard!$B$11)),999,IF(AND($P133&lt;&gt;"",Dashboard!$B$11&gt;0,$P133&gt;=Dashboard!$B$11),$P133,999))</f>
        <v>999</v>
      </c>
      <c r="S133" s="108" t="str">
        <f t="shared" si="2"/>
        <v/>
      </c>
    </row>
    <row r="134" spans="1:19" ht="41.1" customHeight="1">
      <c r="A134" s="1" t="s">
        <v>2145</v>
      </c>
      <c r="B134" s="1" t="s">
        <v>3012</v>
      </c>
      <c r="C134" s="1">
        <v>80</v>
      </c>
      <c r="D134" s="1">
        <v>7.0333333333333341</v>
      </c>
      <c r="E134" s="1">
        <v>1.325666666666667</v>
      </c>
      <c r="F134" s="1" t="s">
        <v>3013</v>
      </c>
      <c r="G134" s="1" t="s">
        <v>3148</v>
      </c>
      <c r="H134" s="1" t="s">
        <v>2195</v>
      </c>
      <c r="I134" s="1" t="s">
        <v>2195</v>
      </c>
      <c r="J134" s="1" t="s">
        <v>2208</v>
      </c>
      <c r="K134" s="108" t="str">
        <f>IF(AND($A134=Dashboard!$B$8,$C134='Calc Engine'!$B$5),$E134,"")</f>
        <v/>
      </c>
      <c r="L134" s="108">
        <f>IF(NOT(ISNUMBER(Dashboard!$B$11)),999,IF(OR(Dashboard!$B$11&lt;=0,$E134=""),999,ABS($E134-Dashboard!$B$11)))</f>
        <v>2.4333333333333096E-2</v>
      </c>
      <c r="M134" s="108" t="str">
        <f>IF(NOT(ISNUMBER(Dashboard!$B$11)),"",IF(AND(Dashboard!$B$11&gt;0,$L134=MIN($L$2:$L$300)),"Closest overall reference",""))</f>
        <v/>
      </c>
      <c r="N134" s="108">
        <f>IF(NOT(ISNUMBER(Dashboard!$B$11)),999,IF(AND(Dashboard!$B$11&gt;0,$A134=Dashboard!$B$8,$E134&lt;&gt;""),ABS($E134-Dashboard!$B$11),999))</f>
        <v>999</v>
      </c>
      <c r="O134" s="108" t="str">
        <f>IF(NOT(ISNUMBER(Dashboard!$B$11)),"",IF(AND(Dashboard!$B$11&gt;0,$N134=MIN($N$2:$N$300)),"Closest same-material reference",""))</f>
        <v/>
      </c>
      <c r="P134" s="108" t="str">
        <f>IF(AND($A134=Dashboard!$B$8,$C134='Calc Engine'!$B$5,$E134&lt;&gt;""),$E134,"")</f>
        <v/>
      </c>
      <c r="Q134" s="108">
        <f>IF(NOT(ISNUMBER(Dashboard!$B$11)),-999,IF(AND($P134&lt;&gt;"",Dashboard!$B$11&gt;0,$P134&lt;=Dashboard!$B$11),$P134,-999))</f>
        <v>-999</v>
      </c>
      <c r="R134" s="108">
        <f>IF(NOT(ISNUMBER(Dashboard!$B$11)),999,IF(AND($P134&lt;&gt;"",Dashboard!$B$11&gt;0,$P134&gt;=Dashboard!$B$11),$P134,999))</f>
        <v>999</v>
      </c>
      <c r="S134" s="108" t="str">
        <f t="shared" si="2"/>
        <v/>
      </c>
    </row>
    <row r="135" spans="1:19" ht="54.75" customHeight="1">
      <c r="A135" s="1" t="s">
        <v>2145</v>
      </c>
      <c r="B135" s="1" t="s">
        <v>3015</v>
      </c>
      <c r="C135" s="1">
        <v>80</v>
      </c>
      <c r="D135" s="1">
        <v>6</v>
      </c>
      <c r="E135" s="1">
        <v>1.3129999999999999</v>
      </c>
      <c r="F135" s="1" t="s">
        <v>3016</v>
      </c>
      <c r="G135" s="1" t="s">
        <v>3149</v>
      </c>
      <c r="H135" s="1" t="s">
        <v>2195</v>
      </c>
      <c r="I135" s="1" t="s">
        <v>2195</v>
      </c>
      <c r="J135" s="1" t="s">
        <v>2208</v>
      </c>
      <c r="K135" s="108" t="str">
        <f>IF(AND($A135=Dashboard!$B$8,$C135='Calc Engine'!$B$5),$E135,"")</f>
        <v/>
      </c>
      <c r="L135" s="108">
        <f>IF(NOT(ISNUMBER(Dashboard!$B$11)),999,IF(OR(Dashboard!$B$11&lt;=0,$E135=""),999,ABS($E135-Dashboard!$B$11)))</f>
        <v>3.7000000000000144E-2</v>
      </c>
      <c r="M135" s="108" t="str">
        <f>IF(NOT(ISNUMBER(Dashboard!$B$11)),"",IF(AND(Dashboard!$B$11&gt;0,$L135=MIN($L$2:$L$300)),"Closest overall reference",""))</f>
        <v/>
      </c>
      <c r="N135" s="108">
        <f>IF(NOT(ISNUMBER(Dashboard!$B$11)),999,IF(AND(Dashboard!$B$11&gt;0,$A135=Dashboard!$B$8,$E135&lt;&gt;""),ABS($E135-Dashboard!$B$11),999))</f>
        <v>999</v>
      </c>
      <c r="O135" s="108" t="str">
        <f>IF(NOT(ISNUMBER(Dashboard!$B$11)),"",IF(AND(Dashboard!$B$11&gt;0,$N135=MIN($N$2:$N$300)),"Closest same-material reference",""))</f>
        <v/>
      </c>
      <c r="P135" s="108" t="str">
        <f>IF(AND($A135=Dashboard!$B$8,$C135='Calc Engine'!$B$5,$E135&lt;&gt;""),$E135,"")</f>
        <v/>
      </c>
      <c r="Q135" s="108">
        <f>IF(NOT(ISNUMBER(Dashboard!$B$11)),-999,IF(AND($P135&lt;&gt;"",Dashboard!$B$11&gt;0,$P135&lt;=Dashboard!$B$11),$P135,-999))</f>
        <v>-999</v>
      </c>
      <c r="R135" s="108">
        <f>IF(NOT(ISNUMBER(Dashboard!$B$11)),999,IF(AND($P135&lt;&gt;"",Dashboard!$B$11&gt;0,$P135&gt;=Dashboard!$B$11),$P135,999))</f>
        <v>999</v>
      </c>
      <c r="S135" s="108" t="str">
        <f t="shared" si="2"/>
        <v/>
      </c>
    </row>
    <row r="136" spans="1:19" ht="27.4" customHeight="1">
      <c r="A136" s="1" t="s">
        <v>2145</v>
      </c>
      <c r="B136" s="1" t="s">
        <v>2186</v>
      </c>
      <c r="C136" s="1">
        <v>100</v>
      </c>
      <c r="D136" s="1">
        <v>7.2</v>
      </c>
      <c r="E136" s="1">
        <v>1.3080000000000001</v>
      </c>
      <c r="F136" s="1" t="s">
        <v>3010</v>
      </c>
      <c r="G136" s="1" t="s">
        <v>3150</v>
      </c>
      <c r="H136" s="1" t="s">
        <v>2195</v>
      </c>
      <c r="I136" s="1" t="s">
        <v>2195</v>
      </c>
      <c r="J136" s="1" t="s">
        <v>2208</v>
      </c>
      <c r="K136" s="108" t="str">
        <f>IF(AND($A136=Dashboard!$B$8,$C136='Calc Engine'!$B$5),$E136,"")</f>
        <v/>
      </c>
      <c r="L136" s="108">
        <f>IF(NOT(ISNUMBER(Dashboard!$B$11)),999,IF(OR(Dashboard!$B$11&lt;=0,$E136=""),999,ABS($E136-Dashboard!$B$11)))</f>
        <v>4.2000000000000037E-2</v>
      </c>
      <c r="M136" s="108" t="str">
        <f>IF(NOT(ISNUMBER(Dashboard!$B$11)),"",IF(AND(Dashboard!$B$11&gt;0,$L136=MIN($L$2:$L$300)),"Closest overall reference",""))</f>
        <v/>
      </c>
      <c r="N136" s="108">
        <f>IF(NOT(ISNUMBER(Dashboard!$B$11)),999,IF(AND(Dashboard!$B$11&gt;0,$A136=Dashboard!$B$8,$E136&lt;&gt;""),ABS($E136-Dashboard!$B$11),999))</f>
        <v>999</v>
      </c>
      <c r="O136" s="108" t="str">
        <f>IF(NOT(ISNUMBER(Dashboard!$B$11)),"",IF(AND(Dashboard!$B$11&gt;0,$N136=MIN($N$2:$N$300)),"Closest same-material reference",""))</f>
        <v/>
      </c>
      <c r="P136" s="108" t="str">
        <f>IF(AND($A136=Dashboard!$B$8,$C136='Calc Engine'!$B$5,$E136&lt;&gt;""),$E136,"")</f>
        <v/>
      </c>
      <c r="Q136" s="108">
        <f>IF(NOT(ISNUMBER(Dashboard!$B$11)),-999,IF(AND($P136&lt;&gt;"",Dashboard!$B$11&gt;0,$P136&lt;=Dashboard!$B$11),$P136,-999))</f>
        <v>-999</v>
      </c>
      <c r="R136" s="108">
        <f>IF(NOT(ISNUMBER(Dashboard!$B$11)),999,IF(AND($P136&lt;&gt;"",Dashboard!$B$11&gt;0,$P136&gt;=Dashboard!$B$11),$P136,999))</f>
        <v>999</v>
      </c>
      <c r="S136" s="108" t="str">
        <f t="shared" si="2"/>
        <v/>
      </c>
    </row>
    <row r="137" spans="1:19" ht="27.4" customHeight="1">
      <c r="A137" s="1" t="s">
        <v>2145</v>
      </c>
      <c r="B137" s="1" t="s">
        <v>2192</v>
      </c>
      <c r="C137" s="1">
        <v>100</v>
      </c>
      <c r="D137" s="1">
        <v>8.4</v>
      </c>
      <c r="E137" s="1">
        <v>1.323</v>
      </c>
      <c r="F137" s="1" t="s">
        <v>3010</v>
      </c>
      <c r="G137" s="1" t="s">
        <v>3151</v>
      </c>
      <c r="H137" s="1" t="s">
        <v>2195</v>
      </c>
      <c r="I137" s="1" t="s">
        <v>2195</v>
      </c>
      <c r="J137" s="1" t="s">
        <v>2208</v>
      </c>
      <c r="K137" s="108" t="str">
        <f>IF(AND($A137=Dashboard!$B$8,$C137='Calc Engine'!$B$5),$E137,"")</f>
        <v/>
      </c>
      <c r="L137" s="108">
        <f>IF(NOT(ISNUMBER(Dashboard!$B$11)),999,IF(OR(Dashboard!$B$11&lt;=0,$E137=""),999,ABS($E137-Dashboard!$B$11)))</f>
        <v>2.7000000000000135E-2</v>
      </c>
      <c r="M137" s="108" t="str">
        <f>IF(NOT(ISNUMBER(Dashboard!$B$11)),"",IF(AND(Dashboard!$B$11&gt;0,$L137=MIN($L$2:$L$300)),"Closest overall reference",""))</f>
        <v/>
      </c>
      <c r="N137" s="108">
        <f>IF(NOT(ISNUMBER(Dashboard!$B$11)),999,IF(AND(Dashboard!$B$11&gt;0,$A137=Dashboard!$B$8,$E137&lt;&gt;""),ABS($E137-Dashboard!$B$11),999))</f>
        <v>999</v>
      </c>
      <c r="O137" s="108" t="str">
        <f>IF(NOT(ISNUMBER(Dashboard!$B$11)),"",IF(AND(Dashboard!$B$11&gt;0,$N137=MIN($N$2:$N$300)),"Closest same-material reference",""))</f>
        <v/>
      </c>
      <c r="P137" s="108" t="str">
        <f>IF(AND($A137=Dashboard!$B$8,$C137='Calc Engine'!$B$5,$E137&lt;&gt;""),$E137,"")</f>
        <v/>
      </c>
      <c r="Q137" s="108">
        <f>IF(NOT(ISNUMBER(Dashboard!$B$11)),-999,IF(AND($P137&lt;&gt;"",Dashboard!$B$11&gt;0,$P137&lt;=Dashboard!$B$11),$P137,-999))</f>
        <v>-999</v>
      </c>
      <c r="R137" s="108">
        <f>IF(NOT(ISNUMBER(Dashboard!$B$11)),999,IF(AND($P137&lt;&gt;"",Dashboard!$B$11&gt;0,$P137&gt;=Dashboard!$B$11),$P137,999))</f>
        <v>999</v>
      </c>
      <c r="S137" s="108" t="str">
        <f t="shared" si="2"/>
        <v/>
      </c>
    </row>
    <row r="138" spans="1:19" ht="27.4" customHeight="1">
      <c r="A138" s="1" t="s">
        <v>2145</v>
      </c>
      <c r="B138" s="1" t="s">
        <v>2179</v>
      </c>
      <c r="C138" s="1">
        <v>100</v>
      </c>
      <c r="D138" s="1">
        <v>6.1</v>
      </c>
      <c r="E138" s="1">
        <v>1.2909999999999999</v>
      </c>
      <c r="F138" s="1" t="s">
        <v>3010</v>
      </c>
      <c r="G138" s="1" t="s">
        <v>3152</v>
      </c>
      <c r="H138" s="1" t="s">
        <v>2195</v>
      </c>
      <c r="I138" s="1" t="s">
        <v>2195</v>
      </c>
      <c r="J138" s="1" t="s">
        <v>2208</v>
      </c>
      <c r="K138" s="108" t="str">
        <f>IF(AND($A138=Dashboard!$B$8,$C138='Calc Engine'!$B$5),$E138,"")</f>
        <v/>
      </c>
      <c r="L138" s="108">
        <f>IF(NOT(ISNUMBER(Dashboard!$B$11)),999,IF(OR(Dashboard!$B$11&lt;=0,$E138=""),999,ABS($E138-Dashboard!$B$11)))</f>
        <v>5.9000000000000163E-2</v>
      </c>
      <c r="M138" s="108" t="str">
        <f>IF(NOT(ISNUMBER(Dashboard!$B$11)),"",IF(AND(Dashboard!$B$11&gt;0,$L138=MIN($L$2:$L$300)),"Closest overall reference",""))</f>
        <v/>
      </c>
      <c r="N138" s="108">
        <f>IF(NOT(ISNUMBER(Dashboard!$B$11)),999,IF(AND(Dashboard!$B$11&gt;0,$A138=Dashboard!$B$8,$E138&lt;&gt;""),ABS($E138-Dashboard!$B$11),999))</f>
        <v>999</v>
      </c>
      <c r="O138" s="108" t="str">
        <f>IF(NOT(ISNUMBER(Dashboard!$B$11)),"",IF(AND(Dashboard!$B$11&gt;0,$N138=MIN($N$2:$N$300)),"Closest same-material reference",""))</f>
        <v/>
      </c>
      <c r="P138" s="108" t="str">
        <f>IF(AND($A138=Dashboard!$B$8,$C138='Calc Engine'!$B$5,$E138&lt;&gt;""),$E138,"")</f>
        <v/>
      </c>
      <c r="Q138" s="108">
        <f>IF(NOT(ISNUMBER(Dashboard!$B$11)),-999,IF(AND($P138&lt;&gt;"",Dashboard!$B$11&gt;0,$P138&lt;=Dashboard!$B$11),$P138,-999))</f>
        <v>-999</v>
      </c>
      <c r="R138" s="108">
        <f>IF(NOT(ISNUMBER(Dashboard!$B$11)),999,IF(AND($P138&lt;&gt;"",Dashboard!$B$11&gt;0,$P138&gt;=Dashboard!$B$11),$P138,999))</f>
        <v>999</v>
      </c>
      <c r="S138" s="108" t="str">
        <f t="shared" si="2"/>
        <v/>
      </c>
    </row>
    <row r="139" spans="1:19" ht="41.1" customHeight="1">
      <c r="A139" s="1" t="s">
        <v>2145</v>
      </c>
      <c r="B139" s="1" t="s">
        <v>3012</v>
      </c>
      <c r="C139" s="1">
        <v>100</v>
      </c>
      <c r="D139" s="1">
        <v>7.2333333333333334</v>
      </c>
      <c r="E139" s="1">
        <v>1.307333333333333</v>
      </c>
      <c r="F139" s="1" t="s">
        <v>3013</v>
      </c>
      <c r="G139" s="1" t="s">
        <v>3153</v>
      </c>
      <c r="H139" s="1" t="s">
        <v>2195</v>
      </c>
      <c r="I139" s="1" t="s">
        <v>2195</v>
      </c>
      <c r="J139" s="1" t="s">
        <v>2208</v>
      </c>
      <c r="K139" s="108" t="str">
        <f>IF(AND($A139=Dashboard!$B$8,$C139='Calc Engine'!$B$5),$E139,"")</f>
        <v/>
      </c>
      <c r="L139" s="108">
        <f>IF(NOT(ISNUMBER(Dashboard!$B$11)),999,IF(OR(Dashboard!$B$11&lt;=0,$E139=""),999,ABS($E139-Dashboard!$B$11)))</f>
        <v>4.2666666666667075E-2</v>
      </c>
      <c r="M139" s="108" t="str">
        <f>IF(NOT(ISNUMBER(Dashboard!$B$11)),"",IF(AND(Dashboard!$B$11&gt;0,$L139=MIN($L$2:$L$300)),"Closest overall reference",""))</f>
        <v/>
      </c>
      <c r="N139" s="108">
        <f>IF(NOT(ISNUMBER(Dashboard!$B$11)),999,IF(AND(Dashboard!$B$11&gt;0,$A139=Dashboard!$B$8,$E139&lt;&gt;""),ABS($E139-Dashboard!$B$11),999))</f>
        <v>999</v>
      </c>
      <c r="O139" s="108" t="str">
        <f>IF(NOT(ISNUMBER(Dashboard!$B$11)),"",IF(AND(Dashboard!$B$11&gt;0,$N139=MIN($N$2:$N$300)),"Closest same-material reference",""))</f>
        <v/>
      </c>
      <c r="P139" s="108" t="str">
        <f>IF(AND($A139=Dashboard!$B$8,$C139='Calc Engine'!$B$5,$E139&lt;&gt;""),$E139,"")</f>
        <v/>
      </c>
      <c r="Q139" s="108">
        <f>IF(NOT(ISNUMBER(Dashboard!$B$11)),-999,IF(AND($P139&lt;&gt;"",Dashboard!$B$11&gt;0,$P139&lt;=Dashboard!$B$11),$P139,-999))</f>
        <v>-999</v>
      </c>
      <c r="R139" s="108">
        <f>IF(NOT(ISNUMBER(Dashboard!$B$11)),999,IF(AND($P139&lt;&gt;"",Dashboard!$B$11&gt;0,$P139&gt;=Dashboard!$B$11),$P139,999))</f>
        <v>999</v>
      </c>
      <c r="S139" s="108" t="str">
        <f t="shared" si="2"/>
        <v/>
      </c>
    </row>
    <row r="140" spans="1:19" ht="54.75" customHeight="1">
      <c r="A140" s="1" t="s">
        <v>2145</v>
      </c>
      <c r="B140" s="1" t="s">
        <v>3015</v>
      </c>
      <c r="C140" s="1">
        <v>100</v>
      </c>
      <c r="D140" s="1">
        <v>6.1</v>
      </c>
      <c r="E140" s="1">
        <v>1.2909999999999999</v>
      </c>
      <c r="F140" s="1" t="s">
        <v>3016</v>
      </c>
      <c r="G140" s="1" t="s">
        <v>3154</v>
      </c>
      <c r="H140" s="1" t="s">
        <v>2195</v>
      </c>
      <c r="I140" s="1" t="s">
        <v>2195</v>
      </c>
      <c r="J140" s="1" t="s">
        <v>2208</v>
      </c>
      <c r="K140" s="108" t="str">
        <f>IF(AND($A140=Dashboard!$B$8,$C140='Calc Engine'!$B$5),$E140,"")</f>
        <v/>
      </c>
      <c r="L140" s="108">
        <f>IF(NOT(ISNUMBER(Dashboard!$B$11)),999,IF(OR(Dashboard!$B$11&lt;=0,$E140=""),999,ABS($E140-Dashboard!$B$11)))</f>
        <v>5.9000000000000163E-2</v>
      </c>
      <c r="M140" s="108" t="str">
        <f>IF(NOT(ISNUMBER(Dashboard!$B$11)),"",IF(AND(Dashboard!$B$11&gt;0,$L140=MIN($L$2:$L$300)),"Closest overall reference",""))</f>
        <v/>
      </c>
      <c r="N140" s="108">
        <f>IF(NOT(ISNUMBER(Dashboard!$B$11)),999,IF(AND(Dashboard!$B$11&gt;0,$A140=Dashboard!$B$8,$E140&lt;&gt;""),ABS($E140-Dashboard!$B$11),999))</f>
        <v>999</v>
      </c>
      <c r="O140" s="108" t="str">
        <f>IF(NOT(ISNUMBER(Dashboard!$B$11)),"",IF(AND(Dashboard!$B$11&gt;0,$N140=MIN($N$2:$N$300)),"Closest same-material reference",""))</f>
        <v/>
      </c>
      <c r="P140" s="108" t="str">
        <f>IF(AND($A140=Dashboard!$B$8,$C140='Calc Engine'!$B$5,$E140&lt;&gt;""),$E140,"")</f>
        <v/>
      </c>
      <c r="Q140" s="108">
        <f>IF(NOT(ISNUMBER(Dashboard!$B$11)),-999,IF(AND($P140&lt;&gt;"",Dashboard!$B$11&gt;0,$P140&lt;=Dashboard!$B$11),$P140,-999))</f>
        <v>-999</v>
      </c>
      <c r="R140" s="108">
        <f>IF(NOT(ISNUMBER(Dashboard!$B$11)),999,IF(AND($P140&lt;&gt;"",Dashboard!$B$11&gt;0,$P140&gt;=Dashboard!$B$11),$P140,999))</f>
        <v>999</v>
      </c>
      <c r="S140" s="108" t="str">
        <f t="shared" si="2"/>
        <v/>
      </c>
    </row>
    <row r="141" spans="1:19" ht="27.4" customHeight="1">
      <c r="A141" s="1" t="s">
        <v>2145</v>
      </c>
      <c r="B141" s="1" t="s">
        <v>2186</v>
      </c>
      <c r="C141" s="1">
        <v>150</v>
      </c>
      <c r="D141" s="1">
        <v>7.8</v>
      </c>
      <c r="E141" s="1">
        <v>1.272</v>
      </c>
      <c r="F141" s="1" t="s">
        <v>3010</v>
      </c>
      <c r="G141" s="1" t="s">
        <v>3155</v>
      </c>
      <c r="H141" s="1" t="s">
        <v>2195</v>
      </c>
      <c r="I141" s="1" t="s">
        <v>2195</v>
      </c>
      <c r="J141" s="1" t="s">
        <v>2208</v>
      </c>
      <c r="K141" s="108" t="str">
        <f>IF(AND($A141=Dashboard!$B$8,$C141='Calc Engine'!$B$5),$E141,"")</f>
        <v/>
      </c>
      <c r="L141" s="108">
        <f>IF(NOT(ISNUMBER(Dashboard!$B$11)),999,IF(OR(Dashboard!$B$11&lt;=0,$E141=""),999,ABS($E141-Dashboard!$B$11)))</f>
        <v>7.8000000000000069E-2</v>
      </c>
      <c r="M141" s="108" t="str">
        <f>IF(NOT(ISNUMBER(Dashboard!$B$11)),"",IF(AND(Dashboard!$B$11&gt;0,$L141=MIN($L$2:$L$300)),"Closest overall reference",""))</f>
        <v/>
      </c>
      <c r="N141" s="108">
        <f>IF(NOT(ISNUMBER(Dashboard!$B$11)),999,IF(AND(Dashboard!$B$11&gt;0,$A141=Dashboard!$B$8,$E141&lt;&gt;""),ABS($E141-Dashboard!$B$11),999))</f>
        <v>999</v>
      </c>
      <c r="O141" s="108" t="str">
        <f>IF(NOT(ISNUMBER(Dashboard!$B$11)),"",IF(AND(Dashboard!$B$11&gt;0,$N141=MIN($N$2:$N$300)),"Closest same-material reference",""))</f>
        <v/>
      </c>
      <c r="P141" s="108" t="str">
        <f>IF(AND($A141=Dashboard!$B$8,$C141='Calc Engine'!$B$5,$E141&lt;&gt;""),$E141,"")</f>
        <v/>
      </c>
      <c r="Q141" s="108">
        <f>IF(NOT(ISNUMBER(Dashboard!$B$11)),-999,IF(AND($P141&lt;&gt;"",Dashboard!$B$11&gt;0,$P141&lt;=Dashboard!$B$11),$P141,-999))</f>
        <v>-999</v>
      </c>
      <c r="R141" s="108">
        <f>IF(NOT(ISNUMBER(Dashboard!$B$11)),999,IF(AND($P141&lt;&gt;"",Dashboard!$B$11&gt;0,$P141&gt;=Dashboard!$B$11),$P141,999))</f>
        <v>999</v>
      </c>
      <c r="S141" s="108" t="str">
        <f t="shared" si="2"/>
        <v/>
      </c>
    </row>
    <row r="142" spans="1:19" ht="27.4" customHeight="1">
      <c r="A142" s="1" t="s">
        <v>2145</v>
      </c>
      <c r="B142" s="1" t="s">
        <v>2192</v>
      </c>
      <c r="C142" s="1">
        <v>150</v>
      </c>
      <c r="D142" s="1">
        <v>9.1</v>
      </c>
      <c r="E142" s="1">
        <v>1.2909999999999999</v>
      </c>
      <c r="F142" s="1" t="s">
        <v>3010</v>
      </c>
      <c r="G142" s="1" t="s">
        <v>3156</v>
      </c>
      <c r="H142" s="1" t="s">
        <v>2195</v>
      </c>
      <c r="I142" s="1" t="s">
        <v>2195</v>
      </c>
      <c r="J142" s="1" t="s">
        <v>2208</v>
      </c>
      <c r="K142" s="108" t="str">
        <f>IF(AND($A142=Dashboard!$B$8,$C142='Calc Engine'!$B$5),$E142,"")</f>
        <v/>
      </c>
      <c r="L142" s="108">
        <f>IF(NOT(ISNUMBER(Dashboard!$B$11)),999,IF(OR(Dashboard!$B$11&lt;=0,$E142=""),999,ABS($E142-Dashboard!$B$11)))</f>
        <v>5.9000000000000163E-2</v>
      </c>
      <c r="M142" s="108" t="str">
        <f>IF(NOT(ISNUMBER(Dashboard!$B$11)),"",IF(AND(Dashboard!$B$11&gt;0,$L142=MIN($L$2:$L$300)),"Closest overall reference",""))</f>
        <v/>
      </c>
      <c r="N142" s="108">
        <f>IF(NOT(ISNUMBER(Dashboard!$B$11)),999,IF(AND(Dashboard!$B$11&gt;0,$A142=Dashboard!$B$8,$E142&lt;&gt;""),ABS($E142-Dashboard!$B$11),999))</f>
        <v>999</v>
      </c>
      <c r="O142" s="108" t="str">
        <f>IF(NOT(ISNUMBER(Dashboard!$B$11)),"",IF(AND(Dashboard!$B$11&gt;0,$N142=MIN($N$2:$N$300)),"Closest same-material reference",""))</f>
        <v/>
      </c>
      <c r="P142" s="108" t="str">
        <f>IF(AND($A142=Dashboard!$B$8,$C142='Calc Engine'!$B$5,$E142&lt;&gt;""),$E142,"")</f>
        <v/>
      </c>
      <c r="Q142" s="108">
        <f>IF(NOT(ISNUMBER(Dashboard!$B$11)),-999,IF(AND($P142&lt;&gt;"",Dashboard!$B$11&gt;0,$P142&lt;=Dashboard!$B$11),$P142,-999))</f>
        <v>-999</v>
      </c>
      <c r="R142" s="108">
        <f>IF(NOT(ISNUMBER(Dashboard!$B$11)),999,IF(AND($P142&lt;&gt;"",Dashboard!$B$11&gt;0,$P142&gt;=Dashboard!$B$11),$P142,999))</f>
        <v>999</v>
      </c>
      <c r="S142" s="108" t="str">
        <f t="shared" si="2"/>
        <v/>
      </c>
    </row>
    <row r="143" spans="1:19" ht="27.4" customHeight="1">
      <c r="A143" s="1" t="s">
        <v>2145</v>
      </c>
      <c r="B143" s="1" t="s">
        <v>2179</v>
      </c>
      <c r="C143" s="1">
        <v>150</v>
      </c>
      <c r="D143" s="1">
        <v>6.3</v>
      </c>
      <c r="E143" s="1">
        <v>1.2430000000000001</v>
      </c>
      <c r="F143" s="1" t="s">
        <v>3010</v>
      </c>
      <c r="G143" s="1" t="s">
        <v>3157</v>
      </c>
      <c r="H143" s="1" t="s">
        <v>2195</v>
      </c>
      <c r="I143" s="1" t="s">
        <v>2195</v>
      </c>
      <c r="J143" s="1" t="s">
        <v>2208</v>
      </c>
      <c r="K143" s="108" t="str">
        <f>IF(AND($A143=Dashboard!$B$8,$C143='Calc Engine'!$B$5),$E143,"")</f>
        <v/>
      </c>
      <c r="L143" s="108">
        <f>IF(NOT(ISNUMBER(Dashboard!$B$11)),999,IF(OR(Dashboard!$B$11&lt;=0,$E143=""),999,ABS($E143-Dashboard!$B$11)))</f>
        <v>0.10699999999999998</v>
      </c>
      <c r="M143" s="108" t="str">
        <f>IF(NOT(ISNUMBER(Dashboard!$B$11)),"",IF(AND(Dashboard!$B$11&gt;0,$L143=MIN($L$2:$L$300)),"Closest overall reference",""))</f>
        <v/>
      </c>
      <c r="N143" s="108">
        <f>IF(NOT(ISNUMBER(Dashboard!$B$11)),999,IF(AND(Dashboard!$B$11&gt;0,$A143=Dashboard!$B$8,$E143&lt;&gt;""),ABS($E143-Dashboard!$B$11),999))</f>
        <v>999</v>
      </c>
      <c r="O143" s="108" t="str">
        <f>IF(NOT(ISNUMBER(Dashboard!$B$11)),"",IF(AND(Dashboard!$B$11&gt;0,$N143=MIN($N$2:$N$300)),"Closest same-material reference",""))</f>
        <v/>
      </c>
      <c r="P143" s="108" t="str">
        <f>IF(AND($A143=Dashboard!$B$8,$C143='Calc Engine'!$B$5,$E143&lt;&gt;""),$E143,"")</f>
        <v/>
      </c>
      <c r="Q143" s="108">
        <f>IF(NOT(ISNUMBER(Dashboard!$B$11)),-999,IF(AND($P143&lt;&gt;"",Dashboard!$B$11&gt;0,$P143&lt;=Dashboard!$B$11),$P143,-999))</f>
        <v>-999</v>
      </c>
      <c r="R143" s="108">
        <f>IF(NOT(ISNUMBER(Dashboard!$B$11)),999,IF(AND($P143&lt;&gt;"",Dashboard!$B$11&gt;0,$P143&gt;=Dashboard!$B$11),$P143,999))</f>
        <v>999</v>
      </c>
      <c r="S143" s="108" t="str">
        <f t="shared" si="2"/>
        <v/>
      </c>
    </row>
    <row r="144" spans="1:19" ht="41.1" customHeight="1">
      <c r="A144" s="1" t="s">
        <v>2145</v>
      </c>
      <c r="B144" s="1" t="s">
        <v>3012</v>
      </c>
      <c r="C144" s="1">
        <v>150</v>
      </c>
      <c r="D144" s="1">
        <v>7.7333333333333334</v>
      </c>
      <c r="E144" s="1">
        <v>1.2686666666666671</v>
      </c>
      <c r="F144" s="1" t="s">
        <v>3013</v>
      </c>
      <c r="G144" s="1" t="s">
        <v>3158</v>
      </c>
      <c r="H144" s="1" t="s">
        <v>2195</v>
      </c>
      <c r="I144" s="1" t="s">
        <v>2195</v>
      </c>
      <c r="J144" s="1" t="s">
        <v>2208</v>
      </c>
      <c r="K144" s="108" t="str">
        <f>IF(AND($A144=Dashboard!$B$8,$C144='Calc Engine'!$B$5),$E144,"")</f>
        <v/>
      </c>
      <c r="L144" s="108">
        <f>IF(NOT(ISNUMBER(Dashboard!$B$11)),999,IF(OR(Dashboard!$B$11&lt;=0,$E144=""),999,ABS($E144-Dashboard!$B$11)))</f>
        <v>8.1333333333333035E-2</v>
      </c>
      <c r="M144" s="108" t="str">
        <f>IF(NOT(ISNUMBER(Dashboard!$B$11)),"",IF(AND(Dashboard!$B$11&gt;0,$L144=MIN($L$2:$L$300)),"Closest overall reference",""))</f>
        <v/>
      </c>
      <c r="N144" s="108">
        <f>IF(NOT(ISNUMBER(Dashboard!$B$11)),999,IF(AND(Dashboard!$B$11&gt;0,$A144=Dashboard!$B$8,$E144&lt;&gt;""),ABS($E144-Dashboard!$B$11),999))</f>
        <v>999</v>
      </c>
      <c r="O144" s="108" t="str">
        <f>IF(NOT(ISNUMBER(Dashboard!$B$11)),"",IF(AND(Dashboard!$B$11&gt;0,$N144=MIN($N$2:$N$300)),"Closest same-material reference",""))</f>
        <v/>
      </c>
      <c r="P144" s="108" t="str">
        <f>IF(AND($A144=Dashboard!$B$8,$C144='Calc Engine'!$B$5,$E144&lt;&gt;""),$E144,"")</f>
        <v/>
      </c>
      <c r="Q144" s="108">
        <f>IF(NOT(ISNUMBER(Dashboard!$B$11)),-999,IF(AND($P144&lt;&gt;"",Dashboard!$B$11&gt;0,$P144&lt;=Dashboard!$B$11),$P144,-999))</f>
        <v>-999</v>
      </c>
      <c r="R144" s="108">
        <f>IF(NOT(ISNUMBER(Dashboard!$B$11)),999,IF(AND($P144&lt;&gt;"",Dashboard!$B$11&gt;0,$P144&gt;=Dashboard!$B$11),$P144,999))</f>
        <v>999</v>
      </c>
      <c r="S144" s="108" t="str">
        <f t="shared" si="2"/>
        <v/>
      </c>
    </row>
    <row r="145" spans="1:19" ht="54.75" customHeight="1">
      <c r="A145" s="1" t="s">
        <v>2145</v>
      </c>
      <c r="B145" s="1" t="s">
        <v>3015</v>
      </c>
      <c r="C145" s="1">
        <v>150</v>
      </c>
      <c r="D145" s="1">
        <v>6.3</v>
      </c>
      <c r="E145" s="1">
        <v>1.2430000000000001</v>
      </c>
      <c r="F145" s="1" t="s">
        <v>3016</v>
      </c>
      <c r="G145" s="1" t="s">
        <v>3159</v>
      </c>
      <c r="H145" s="1" t="s">
        <v>2195</v>
      </c>
      <c r="I145" s="1" t="s">
        <v>2195</v>
      </c>
      <c r="J145" s="1" t="s">
        <v>2208</v>
      </c>
      <c r="K145" s="108" t="str">
        <f>IF(AND($A145=Dashboard!$B$8,$C145='Calc Engine'!$B$5),$E145,"")</f>
        <v/>
      </c>
      <c r="L145" s="108">
        <f>IF(NOT(ISNUMBER(Dashboard!$B$11)),999,IF(OR(Dashboard!$B$11&lt;=0,$E145=""),999,ABS($E145-Dashboard!$B$11)))</f>
        <v>0.10699999999999998</v>
      </c>
      <c r="M145" s="108" t="str">
        <f>IF(NOT(ISNUMBER(Dashboard!$B$11)),"",IF(AND(Dashboard!$B$11&gt;0,$L145=MIN($L$2:$L$300)),"Closest overall reference",""))</f>
        <v/>
      </c>
      <c r="N145" s="108">
        <f>IF(NOT(ISNUMBER(Dashboard!$B$11)),999,IF(AND(Dashboard!$B$11&gt;0,$A145=Dashboard!$B$8,$E145&lt;&gt;""),ABS($E145-Dashboard!$B$11),999))</f>
        <v>999</v>
      </c>
      <c r="O145" s="108" t="str">
        <f>IF(NOT(ISNUMBER(Dashboard!$B$11)),"",IF(AND(Dashboard!$B$11&gt;0,$N145=MIN($N$2:$N$300)),"Closest same-material reference",""))</f>
        <v/>
      </c>
      <c r="P145" s="108" t="str">
        <f>IF(AND($A145=Dashboard!$B$8,$C145='Calc Engine'!$B$5,$E145&lt;&gt;""),$E145,"")</f>
        <v/>
      </c>
      <c r="Q145" s="108">
        <f>IF(NOT(ISNUMBER(Dashboard!$B$11)),-999,IF(AND($P145&lt;&gt;"",Dashboard!$B$11&gt;0,$P145&lt;=Dashboard!$B$11),$P145,-999))</f>
        <v>-999</v>
      </c>
      <c r="R145" s="108">
        <f>IF(NOT(ISNUMBER(Dashboard!$B$11)),999,IF(AND($P145&lt;&gt;"",Dashboard!$B$11&gt;0,$P145&gt;=Dashboard!$B$11),$P145,999))</f>
        <v>999</v>
      </c>
      <c r="S145" s="108" t="str">
        <f t="shared" si="2"/>
        <v/>
      </c>
    </row>
    <row r="146" spans="1:19" ht="27.4" customHeight="1">
      <c r="A146" s="1" t="s">
        <v>2145</v>
      </c>
      <c r="B146" s="1" t="s">
        <v>2186</v>
      </c>
      <c r="C146" s="1">
        <v>200</v>
      </c>
      <c r="D146" s="1">
        <v>8.4</v>
      </c>
      <c r="E146" s="1">
        <v>1.244</v>
      </c>
      <c r="F146" s="1" t="s">
        <v>3010</v>
      </c>
      <c r="G146" s="1" t="s">
        <v>3160</v>
      </c>
      <c r="H146" s="1" t="s">
        <v>2195</v>
      </c>
      <c r="I146" s="1" t="s">
        <v>2195</v>
      </c>
      <c r="J146" s="1" t="s">
        <v>2208</v>
      </c>
      <c r="K146" s="108" t="str">
        <f>IF(AND($A146=Dashboard!$B$8,$C146='Calc Engine'!$B$5),$E146,"")</f>
        <v/>
      </c>
      <c r="L146" s="108">
        <f>IF(NOT(ISNUMBER(Dashboard!$B$11)),999,IF(OR(Dashboard!$B$11&lt;=0,$E146=""),999,ABS($E146-Dashboard!$B$11)))</f>
        <v>0.10600000000000009</v>
      </c>
      <c r="M146" s="108" t="str">
        <f>IF(NOT(ISNUMBER(Dashboard!$B$11)),"",IF(AND(Dashboard!$B$11&gt;0,$L146=MIN($L$2:$L$300)),"Closest overall reference",""))</f>
        <v/>
      </c>
      <c r="N146" s="108">
        <f>IF(NOT(ISNUMBER(Dashboard!$B$11)),999,IF(AND(Dashboard!$B$11&gt;0,$A146=Dashboard!$B$8,$E146&lt;&gt;""),ABS($E146-Dashboard!$B$11),999))</f>
        <v>999</v>
      </c>
      <c r="O146" s="108" t="str">
        <f>IF(NOT(ISNUMBER(Dashboard!$B$11)),"",IF(AND(Dashboard!$B$11&gt;0,$N146=MIN($N$2:$N$300)),"Closest same-material reference",""))</f>
        <v/>
      </c>
      <c r="P146" s="108" t="str">
        <f>IF(AND($A146=Dashboard!$B$8,$C146='Calc Engine'!$B$5,$E146&lt;&gt;""),$E146,"")</f>
        <v/>
      </c>
      <c r="Q146" s="108">
        <f>IF(NOT(ISNUMBER(Dashboard!$B$11)),-999,IF(AND($P146&lt;&gt;"",Dashboard!$B$11&gt;0,$P146&lt;=Dashboard!$B$11),$P146,-999))</f>
        <v>-999</v>
      </c>
      <c r="R146" s="108">
        <f>IF(NOT(ISNUMBER(Dashboard!$B$11)),999,IF(AND($P146&lt;&gt;"",Dashboard!$B$11&gt;0,$P146&gt;=Dashboard!$B$11),$P146,999))</f>
        <v>999</v>
      </c>
      <c r="S146" s="108" t="str">
        <f t="shared" si="2"/>
        <v/>
      </c>
    </row>
    <row r="147" spans="1:19" ht="27.4" customHeight="1">
      <c r="A147" s="1" t="s">
        <v>2145</v>
      </c>
      <c r="B147" s="1" t="s">
        <v>2192</v>
      </c>
      <c r="C147" s="1">
        <v>200</v>
      </c>
      <c r="D147" s="1">
        <v>9.8000000000000007</v>
      </c>
      <c r="E147" s="1">
        <v>1.2649999999999999</v>
      </c>
      <c r="F147" s="1" t="s">
        <v>3010</v>
      </c>
      <c r="G147" s="1" t="s">
        <v>3161</v>
      </c>
      <c r="H147" s="1" t="s">
        <v>2195</v>
      </c>
      <c r="I147" s="1" t="s">
        <v>2195</v>
      </c>
      <c r="J147" s="1" t="s">
        <v>2208</v>
      </c>
      <c r="K147" s="108" t="str">
        <f>IF(AND($A147=Dashboard!$B$8,$C147='Calc Engine'!$B$5),$E147,"")</f>
        <v/>
      </c>
      <c r="L147" s="108">
        <f>IF(NOT(ISNUMBER(Dashboard!$B$11)),999,IF(OR(Dashboard!$B$11&lt;=0,$E147=""),999,ABS($E147-Dashboard!$B$11)))</f>
        <v>8.5000000000000187E-2</v>
      </c>
      <c r="M147" s="108" t="str">
        <f>IF(NOT(ISNUMBER(Dashboard!$B$11)),"",IF(AND(Dashboard!$B$11&gt;0,$L147=MIN($L$2:$L$300)),"Closest overall reference",""))</f>
        <v/>
      </c>
      <c r="N147" s="108">
        <f>IF(NOT(ISNUMBER(Dashboard!$B$11)),999,IF(AND(Dashboard!$B$11&gt;0,$A147=Dashboard!$B$8,$E147&lt;&gt;""),ABS($E147-Dashboard!$B$11),999))</f>
        <v>999</v>
      </c>
      <c r="O147" s="108" t="str">
        <f>IF(NOT(ISNUMBER(Dashboard!$B$11)),"",IF(AND(Dashboard!$B$11&gt;0,$N147=MIN($N$2:$N$300)),"Closest same-material reference",""))</f>
        <v/>
      </c>
      <c r="P147" s="108" t="str">
        <f>IF(AND($A147=Dashboard!$B$8,$C147='Calc Engine'!$B$5,$E147&lt;&gt;""),$E147,"")</f>
        <v/>
      </c>
      <c r="Q147" s="108">
        <f>IF(NOT(ISNUMBER(Dashboard!$B$11)),-999,IF(AND($P147&lt;&gt;"",Dashboard!$B$11&gt;0,$P147&lt;=Dashboard!$B$11),$P147,-999))</f>
        <v>-999</v>
      </c>
      <c r="R147" s="108">
        <f>IF(NOT(ISNUMBER(Dashboard!$B$11)),999,IF(AND($P147&lt;&gt;"",Dashboard!$B$11&gt;0,$P147&gt;=Dashboard!$B$11),$P147,999))</f>
        <v>999</v>
      </c>
      <c r="S147" s="108" t="str">
        <f t="shared" si="2"/>
        <v/>
      </c>
    </row>
    <row r="148" spans="1:19" ht="27.4" customHeight="1">
      <c r="A148" s="1" t="s">
        <v>2145</v>
      </c>
      <c r="B148" s="1" t="s">
        <v>2179</v>
      </c>
      <c r="C148" s="1">
        <v>200</v>
      </c>
      <c r="D148" s="1">
        <v>6.4</v>
      </c>
      <c r="E148" s="1">
        <v>1.2010000000000001</v>
      </c>
      <c r="F148" s="1" t="s">
        <v>3010</v>
      </c>
      <c r="G148" s="1" t="s">
        <v>3162</v>
      </c>
      <c r="H148" s="1" t="s">
        <v>2195</v>
      </c>
      <c r="I148" s="1" t="s">
        <v>2195</v>
      </c>
      <c r="J148" s="1" t="s">
        <v>2208</v>
      </c>
      <c r="K148" s="108" t="str">
        <f>IF(AND($A148=Dashboard!$B$8,$C148='Calc Engine'!$B$5),$E148,"")</f>
        <v/>
      </c>
      <c r="L148" s="108">
        <f>IF(NOT(ISNUMBER(Dashboard!$B$11)),999,IF(OR(Dashboard!$B$11&lt;=0,$E148=""),999,ABS($E148-Dashboard!$B$11)))</f>
        <v>0.14900000000000002</v>
      </c>
      <c r="M148" s="108" t="str">
        <f>IF(NOT(ISNUMBER(Dashboard!$B$11)),"",IF(AND(Dashboard!$B$11&gt;0,$L148=MIN($L$2:$L$300)),"Closest overall reference",""))</f>
        <v/>
      </c>
      <c r="N148" s="108">
        <f>IF(NOT(ISNUMBER(Dashboard!$B$11)),999,IF(AND(Dashboard!$B$11&gt;0,$A148=Dashboard!$B$8,$E148&lt;&gt;""),ABS($E148-Dashboard!$B$11),999))</f>
        <v>999</v>
      </c>
      <c r="O148" s="108" t="str">
        <f>IF(NOT(ISNUMBER(Dashboard!$B$11)),"",IF(AND(Dashboard!$B$11&gt;0,$N148=MIN($N$2:$N$300)),"Closest same-material reference",""))</f>
        <v/>
      </c>
      <c r="P148" s="108" t="str">
        <f>IF(AND($A148=Dashboard!$B$8,$C148='Calc Engine'!$B$5,$E148&lt;&gt;""),$E148,"")</f>
        <v/>
      </c>
      <c r="Q148" s="108">
        <f>IF(NOT(ISNUMBER(Dashboard!$B$11)),-999,IF(AND($P148&lt;&gt;"",Dashboard!$B$11&gt;0,$P148&lt;=Dashboard!$B$11),$P148,-999))</f>
        <v>-999</v>
      </c>
      <c r="R148" s="108">
        <f>IF(NOT(ISNUMBER(Dashboard!$B$11)),999,IF(AND($P148&lt;&gt;"",Dashboard!$B$11&gt;0,$P148&gt;=Dashboard!$B$11),$P148,999))</f>
        <v>999</v>
      </c>
      <c r="S148" s="108" t="str">
        <f t="shared" si="2"/>
        <v/>
      </c>
    </row>
    <row r="149" spans="1:19" ht="41.1" customHeight="1">
      <c r="A149" s="1" t="s">
        <v>2145</v>
      </c>
      <c r="B149" s="1" t="s">
        <v>3012</v>
      </c>
      <c r="C149" s="1">
        <v>200</v>
      </c>
      <c r="D149" s="1">
        <v>8.2000000000000011</v>
      </c>
      <c r="E149" s="1">
        <v>1.236666666666667</v>
      </c>
      <c r="F149" s="1" t="s">
        <v>3013</v>
      </c>
      <c r="G149" s="1" t="s">
        <v>3163</v>
      </c>
      <c r="H149" s="1" t="s">
        <v>2195</v>
      </c>
      <c r="I149" s="1" t="s">
        <v>2195</v>
      </c>
      <c r="J149" s="1" t="s">
        <v>2208</v>
      </c>
      <c r="K149" s="108" t="str">
        <f>IF(AND($A149=Dashboard!$B$8,$C149='Calc Engine'!$B$5),$E149,"")</f>
        <v/>
      </c>
      <c r="L149" s="108">
        <f>IF(NOT(ISNUMBER(Dashboard!$B$11)),999,IF(OR(Dashboard!$B$11&lt;=0,$E149=""),999,ABS($E149-Dashboard!$B$11)))</f>
        <v>0.11333333333333306</v>
      </c>
      <c r="M149" s="108" t="str">
        <f>IF(NOT(ISNUMBER(Dashboard!$B$11)),"",IF(AND(Dashboard!$B$11&gt;0,$L149=MIN($L$2:$L$300)),"Closest overall reference",""))</f>
        <v/>
      </c>
      <c r="N149" s="108">
        <f>IF(NOT(ISNUMBER(Dashboard!$B$11)),999,IF(AND(Dashboard!$B$11&gt;0,$A149=Dashboard!$B$8,$E149&lt;&gt;""),ABS($E149-Dashboard!$B$11),999))</f>
        <v>999</v>
      </c>
      <c r="O149" s="108" t="str">
        <f>IF(NOT(ISNUMBER(Dashboard!$B$11)),"",IF(AND(Dashboard!$B$11&gt;0,$N149=MIN($N$2:$N$300)),"Closest same-material reference",""))</f>
        <v/>
      </c>
      <c r="P149" s="108" t="str">
        <f>IF(AND($A149=Dashboard!$B$8,$C149='Calc Engine'!$B$5,$E149&lt;&gt;""),$E149,"")</f>
        <v/>
      </c>
      <c r="Q149" s="108">
        <f>IF(NOT(ISNUMBER(Dashboard!$B$11)),-999,IF(AND($P149&lt;&gt;"",Dashboard!$B$11&gt;0,$P149&lt;=Dashboard!$B$11),$P149,-999))</f>
        <v>-999</v>
      </c>
      <c r="R149" s="108">
        <f>IF(NOT(ISNUMBER(Dashboard!$B$11)),999,IF(AND($P149&lt;&gt;"",Dashboard!$B$11&gt;0,$P149&gt;=Dashboard!$B$11),$P149,999))</f>
        <v>999</v>
      </c>
      <c r="S149" s="108" t="str">
        <f t="shared" si="2"/>
        <v/>
      </c>
    </row>
    <row r="150" spans="1:19" ht="54.75" customHeight="1">
      <c r="A150" s="1" t="s">
        <v>2145</v>
      </c>
      <c r="B150" s="1" t="s">
        <v>3015</v>
      </c>
      <c r="C150" s="1">
        <v>200</v>
      </c>
      <c r="D150" s="1">
        <v>6.4</v>
      </c>
      <c r="E150" s="1">
        <v>1.2010000000000001</v>
      </c>
      <c r="F150" s="1" t="s">
        <v>3016</v>
      </c>
      <c r="G150" s="1" t="s">
        <v>3164</v>
      </c>
      <c r="H150" s="1" t="s">
        <v>2195</v>
      </c>
      <c r="I150" s="1" t="s">
        <v>2195</v>
      </c>
      <c r="J150" s="1" t="s">
        <v>2208</v>
      </c>
      <c r="K150" s="108" t="str">
        <f>IF(AND($A150=Dashboard!$B$8,$C150='Calc Engine'!$B$5),$E150,"")</f>
        <v/>
      </c>
      <c r="L150" s="108">
        <f>IF(NOT(ISNUMBER(Dashboard!$B$11)),999,IF(OR(Dashboard!$B$11&lt;=0,$E150=""),999,ABS($E150-Dashboard!$B$11)))</f>
        <v>0.14900000000000002</v>
      </c>
      <c r="M150" s="108" t="str">
        <f>IF(NOT(ISNUMBER(Dashboard!$B$11)),"",IF(AND(Dashboard!$B$11&gt;0,$L150=MIN($L$2:$L$300)),"Closest overall reference",""))</f>
        <v/>
      </c>
      <c r="N150" s="108">
        <f>IF(NOT(ISNUMBER(Dashboard!$B$11)),999,IF(AND(Dashboard!$B$11&gt;0,$A150=Dashboard!$B$8,$E150&lt;&gt;""),ABS($E150-Dashboard!$B$11),999))</f>
        <v>999</v>
      </c>
      <c r="O150" s="108" t="str">
        <f>IF(NOT(ISNUMBER(Dashboard!$B$11)),"",IF(AND(Dashboard!$B$11&gt;0,$N150=MIN($N$2:$N$300)),"Closest same-material reference",""))</f>
        <v/>
      </c>
      <c r="P150" s="108" t="str">
        <f>IF(AND($A150=Dashboard!$B$8,$C150='Calc Engine'!$B$5,$E150&lt;&gt;""),$E150,"")</f>
        <v/>
      </c>
      <c r="Q150" s="108">
        <f>IF(NOT(ISNUMBER(Dashboard!$B$11)),-999,IF(AND($P150&lt;&gt;"",Dashboard!$B$11&gt;0,$P150&lt;=Dashboard!$B$11),$P150,-999))</f>
        <v>-999</v>
      </c>
      <c r="R150" s="108">
        <f>IF(NOT(ISNUMBER(Dashboard!$B$11)),999,IF(AND($P150&lt;&gt;"",Dashboard!$B$11&gt;0,$P150&gt;=Dashboard!$B$11),$P150,999))</f>
        <v>999</v>
      </c>
      <c r="S150" s="108" t="str">
        <f t="shared" si="2"/>
        <v/>
      </c>
    </row>
    <row r="151" spans="1:19" ht="27.4" customHeight="1">
      <c r="A151" s="1" t="s">
        <v>2145</v>
      </c>
      <c r="B151" s="1" t="s">
        <v>2186</v>
      </c>
      <c r="C151" s="1">
        <v>250</v>
      </c>
      <c r="D151" s="1">
        <v>9</v>
      </c>
      <c r="E151" s="1">
        <v>1.22</v>
      </c>
      <c r="F151" s="1" t="s">
        <v>3010</v>
      </c>
      <c r="G151" s="1" t="s">
        <v>3165</v>
      </c>
      <c r="H151" s="1" t="s">
        <v>2195</v>
      </c>
      <c r="I151" s="1" t="s">
        <v>2195</v>
      </c>
      <c r="J151" s="1" t="s">
        <v>2208</v>
      </c>
      <c r="K151" s="108" t="str">
        <f>IF(AND($A151=Dashboard!$B$8,$C151='Calc Engine'!$B$5),$E151,"")</f>
        <v/>
      </c>
      <c r="L151" s="108">
        <f>IF(NOT(ISNUMBER(Dashboard!$B$11)),999,IF(OR(Dashboard!$B$11&lt;=0,$E151=""),999,ABS($E151-Dashboard!$B$11)))</f>
        <v>0.13000000000000012</v>
      </c>
      <c r="M151" s="108" t="str">
        <f>IF(NOT(ISNUMBER(Dashboard!$B$11)),"",IF(AND(Dashboard!$B$11&gt;0,$L151=MIN($L$2:$L$300)),"Closest overall reference",""))</f>
        <v/>
      </c>
      <c r="N151" s="108">
        <f>IF(NOT(ISNUMBER(Dashboard!$B$11)),999,IF(AND(Dashboard!$B$11&gt;0,$A151=Dashboard!$B$8,$E151&lt;&gt;""),ABS($E151-Dashboard!$B$11),999))</f>
        <v>999</v>
      </c>
      <c r="O151" s="108" t="str">
        <f>IF(NOT(ISNUMBER(Dashboard!$B$11)),"",IF(AND(Dashboard!$B$11&gt;0,$N151=MIN($N$2:$N$300)),"Closest same-material reference",""))</f>
        <v/>
      </c>
      <c r="P151" s="108" t="str">
        <f>IF(AND($A151=Dashboard!$B$8,$C151='Calc Engine'!$B$5,$E151&lt;&gt;""),$E151,"")</f>
        <v/>
      </c>
      <c r="Q151" s="108">
        <f>IF(NOT(ISNUMBER(Dashboard!$B$11)),-999,IF(AND($P151&lt;&gt;"",Dashboard!$B$11&gt;0,$P151&lt;=Dashboard!$B$11),$P151,-999))</f>
        <v>-999</v>
      </c>
      <c r="R151" s="108">
        <f>IF(NOT(ISNUMBER(Dashboard!$B$11)),999,IF(AND($P151&lt;&gt;"",Dashboard!$B$11&gt;0,$P151&gt;=Dashboard!$B$11),$P151,999))</f>
        <v>999</v>
      </c>
      <c r="S151" s="108" t="str">
        <f t="shared" si="2"/>
        <v/>
      </c>
    </row>
    <row r="152" spans="1:19" ht="27.4" customHeight="1">
      <c r="A152" s="1" t="s">
        <v>2145</v>
      </c>
      <c r="B152" s="1" t="s">
        <v>2192</v>
      </c>
      <c r="C152" s="1">
        <v>250</v>
      </c>
      <c r="D152" s="1">
        <v>10.5</v>
      </c>
      <c r="E152" s="1">
        <v>1.244</v>
      </c>
      <c r="F152" s="1" t="s">
        <v>3010</v>
      </c>
      <c r="G152" s="1" t="s">
        <v>3166</v>
      </c>
      <c r="H152" s="1" t="s">
        <v>2195</v>
      </c>
      <c r="I152" s="1" t="s">
        <v>2195</v>
      </c>
      <c r="J152" s="1" t="s">
        <v>2208</v>
      </c>
      <c r="K152" s="108" t="str">
        <f>IF(AND($A152=Dashboard!$B$8,$C152='Calc Engine'!$B$5),$E152,"")</f>
        <v/>
      </c>
      <c r="L152" s="108">
        <f>IF(NOT(ISNUMBER(Dashboard!$B$11)),999,IF(OR(Dashboard!$B$11&lt;=0,$E152=""),999,ABS($E152-Dashboard!$B$11)))</f>
        <v>0.10600000000000009</v>
      </c>
      <c r="M152" s="108" t="str">
        <f>IF(NOT(ISNUMBER(Dashboard!$B$11)),"",IF(AND(Dashboard!$B$11&gt;0,$L152=MIN($L$2:$L$300)),"Closest overall reference",""))</f>
        <v/>
      </c>
      <c r="N152" s="108">
        <f>IF(NOT(ISNUMBER(Dashboard!$B$11)),999,IF(AND(Dashboard!$B$11&gt;0,$A152=Dashboard!$B$8,$E152&lt;&gt;""),ABS($E152-Dashboard!$B$11),999))</f>
        <v>999</v>
      </c>
      <c r="O152" s="108" t="str">
        <f>IF(NOT(ISNUMBER(Dashboard!$B$11)),"",IF(AND(Dashboard!$B$11&gt;0,$N152=MIN($N$2:$N$300)),"Closest same-material reference",""))</f>
        <v/>
      </c>
      <c r="P152" s="108" t="str">
        <f>IF(AND($A152=Dashboard!$B$8,$C152='Calc Engine'!$B$5,$E152&lt;&gt;""),$E152,"")</f>
        <v/>
      </c>
      <c r="Q152" s="108">
        <f>IF(NOT(ISNUMBER(Dashboard!$B$11)),-999,IF(AND($P152&lt;&gt;"",Dashboard!$B$11&gt;0,$P152&lt;=Dashboard!$B$11),$P152,-999))</f>
        <v>-999</v>
      </c>
      <c r="R152" s="108">
        <f>IF(NOT(ISNUMBER(Dashboard!$B$11)),999,IF(AND($P152&lt;&gt;"",Dashboard!$B$11&gt;0,$P152&gt;=Dashboard!$B$11),$P152,999))</f>
        <v>999</v>
      </c>
      <c r="S152" s="108" t="str">
        <f t="shared" si="2"/>
        <v/>
      </c>
    </row>
    <row r="153" spans="1:19" ht="27.4" customHeight="1">
      <c r="A153" s="1" t="s">
        <v>2145</v>
      </c>
      <c r="B153" s="1" t="s">
        <v>2179</v>
      </c>
      <c r="C153" s="1">
        <v>250</v>
      </c>
      <c r="D153" s="1">
        <v>6.8</v>
      </c>
      <c r="E153" s="1">
        <v>1.171</v>
      </c>
      <c r="F153" s="1" t="s">
        <v>3010</v>
      </c>
      <c r="G153" s="1" t="s">
        <v>3167</v>
      </c>
      <c r="H153" s="1" t="s">
        <v>2195</v>
      </c>
      <c r="I153" s="1" t="s">
        <v>2195</v>
      </c>
      <c r="J153" s="1" t="s">
        <v>2208</v>
      </c>
      <c r="K153" s="108" t="str">
        <f>IF(AND($A153=Dashboard!$B$8,$C153='Calc Engine'!$B$5),$E153,"")</f>
        <v/>
      </c>
      <c r="L153" s="108">
        <f>IF(NOT(ISNUMBER(Dashboard!$B$11)),999,IF(OR(Dashboard!$B$11&lt;=0,$E153=""),999,ABS($E153-Dashboard!$B$11)))</f>
        <v>0.17900000000000005</v>
      </c>
      <c r="M153" s="108" t="str">
        <f>IF(NOT(ISNUMBER(Dashboard!$B$11)),"",IF(AND(Dashboard!$B$11&gt;0,$L153=MIN($L$2:$L$300)),"Closest overall reference",""))</f>
        <v/>
      </c>
      <c r="N153" s="108">
        <f>IF(NOT(ISNUMBER(Dashboard!$B$11)),999,IF(AND(Dashboard!$B$11&gt;0,$A153=Dashboard!$B$8,$E153&lt;&gt;""),ABS($E153-Dashboard!$B$11),999))</f>
        <v>999</v>
      </c>
      <c r="O153" s="108" t="str">
        <f>IF(NOT(ISNUMBER(Dashboard!$B$11)),"",IF(AND(Dashboard!$B$11&gt;0,$N153=MIN($N$2:$N$300)),"Closest same-material reference",""))</f>
        <v/>
      </c>
      <c r="P153" s="108" t="str">
        <f>IF(AND($A153=Dashboard!$B$8,$C153='Calc Engine'!$B$5,$E153&lt;&gt;""),$E153,"")</f>
        <v/>
      </c>
      <c r="Q153" s="108">
        <f>IF(NOT(ISNUMBER(Dashboard!$B$11)),-999,IF(AND($P153&lt;&gt;"",Dashboard!$B$11&gt;0,$P153&lt;=Dashboard!$B$11),$P153,-999))</f>
        <v>-999</v>
      </c>
      <c r="R153" s="108">
        <f>IF(NOT(ISNUMBER(Dashboard!$B$11)),999,IF(AND($P153&lt;&gt;"",Dashboard!$B$11&gt;0,$P153&gt;=Dashboard!$B$11),$P153,999))</f>
        <v>999</v>
      </c>
      <c r="S153" s="108" t="str">
        <f t="shared" si="2"/>
        <v/>
      </c>
    </row>
    <row r="154" spans="1:19" ht="41.1" customHeight="1">
      <c r="A154" s="1" t="s">
        <v>2145</v>
      </c>
      <c r="B154" s="1" t="s">
        <v>3012</v>
      </c>
      <c r="C154" s="1">
        <v>250</v>
      </c>
      <c r="D154" s="1">
        <v>8.7666666666666675</v>
      </c>
      <c r="E154" s="1">
        <v>1.2116666666666669</v>
      </c>
      <c r="F154" s="1" t="s">
        <v>3013</v>
      </c>
      <c r="G154" s="1" t="s">
        <v>3168</v>
      </c>
      <c r="H154" s="1" t="s">
        <v>2195</v>
      </c>
      <c r="I154" s="1" t="s">
        <v>2195</v>
      </c>
      <c r="J154" s="1" t="s">
        <v>2208</v>
      </c>
      <c r="K154" s="108" t="str">
        <f>IF(AND($A154=Dashboard!$B$8,$C154='Calc Engine'!$B$5),$E154,"")</f>
        <v/>
      </c>
      <c r="L154" s="108">
        <f>IF(NOT(ISNUMBER(Dashboard!$B$11)),999,IF(OR(Dashboard!$B$11&lt;=0,$E154=""),999,ABS($E154-Dashboard!$B$11)))</f>
        <v>0.1383333333333332</v>
      </c>
      <c r="M154" s="108" t="str">
        <f>IF(NOT(ISNUMBER(Dashboard!$B$11)),"",IF(AND(Dashboard!$B$11&gt;0,$L154=MIN($L$2:$L$300)),"Closest overall reference",""))</f>
        <v/>
      </c>
      <c r="N154" s="108">
        <f>IF(NOT(ISNUMBER(Dashboard!$B$11)),999,IF(AND(Dashboard!$B$11&gt;0,$A154=Dashboard!$B$8,$E154&lt;&gt;""),ABS($E154-Dashboard!$B$11),999))</f>
        <v>999</v>
      </c>
      <c r="O154" s="108" t="str">
        <f>IF(NOT(ISNUMBER(Dashboard!$B$11)),"",IF(AND(Dashboard!$B$11&gt;0,$N154=MIN($N$2:$N$300)),"Closest same-material reference",""))</f>
        <v/>
      </c>
      <c r="P154" s="108" t="str">
        <f>IF(AND($A154=Dashboard!$B$8,$C154='Calc Engine'!$B$5,$E154&lt;&gt;""),$E154,"")</f>
        <v/>
      </c>
      <c r="Q154" s="108">
        <f>IF(NOT(ISNUMBER(Dashboard!$B$11)),-999,IF(AND($P154&lt;&gt;"",Dashboard!$B$11&gt;0,$P154&lt;=Dashboard!$B$11),$P154,-999))</f>
        <v>-999</v>
      </c>
      <c r="R154" s="108">
        <f>IF(NOT(ISNUMBER(Dashboard!$B$11)),999,IF(AND($P154&lt;&gt;"",Dashboard!$B$11&gt;0,$P154&gt;=Dashboard!$B$11),$P154,999))</f>
        <v>999</v>
      </c>
      <c r="S154" s="108" t="str">
        <f t="shared" si="2"/>
        <v/>
      </c>
    </row>
    <row r="155" spans="1:19" ht="54.75" customHeight="1">
      <c r="A155" s="1" t="s">
        <v>2145</v>
      </c>
      <c r="B155" s="1" t="s">
        <v>3015</v>
      </c>
      <c r="C155" s="1">
        <v>250</v>
      </c>
      <c r="D155" s="1">
        <v>6.8</v>
      </c>
      <c r="E155" s="1">
        <v>1.171</v>
      </c>
      <c r="F155" s="1" t="s">
        <v>3016</v>
      </c>
      <c r="G155" s="1" t="s">
        <v>3169</v>
      </c>
      <c r="H155" s="1" t="s">
        <v>2195</v>
      </c>
      <c r="I155" s="1" t="s">
        <v>2195</v>
      </c>
      <c r="J155" s="1" t="s">
        <v>2208</v>
      </c>
      <c r="K155" s="108" t="str">
        <f>IF(AND($A155=Dashboard!$B$8,$C155='Calc Engine'!$B$5),$E155,"")</f>
        <v/>
      </c>
      <c r="L155" s="108">
        <f>IF(NOT(ISNUMBER(Dashboard!$B$11)),999,IF(OR(Dashboard!$B$11&lt;=0,$E155=""),999,ABS($E155-Dashboard!$B$11)))</f>
        <v>0.17900000000000005</v>
      </c>
      <c r="M155" s="108" t="str">
        <f>IF(NOT(ISNUMBER(Dashboard!$B$11)),"",IF(AND(Dashboard!$B$11&gt;0,$L155=MIN($L$2:$L$300)),"Closest overall reference",""))</f>
        <v/>
      </c>
      <c r="N155" s="108">
        <f>IF(NOT(ISNUMBER(Dashboard!$B$11)),999,IF(AND(Dashboard!$B$11&gt;0,$A155=Dashboard!$B$8,$E155&lt;&gt;""),ABS($E155-Dashboard!$B$11),999))</f>
        <v>999</v>
      </c>
      <c r="O155" s="108" t="str">
        <f>IF(NOT(ISNUMBER(Dashboard!$B$11)),"",IF(AND(Dashboard!$B$11&gt;0,$N155=MIN($N$2:$N$300)),"Closest same-material reference",""))</f>
        <v/>
      </c>
      <c r="P155" s="108" t="str">
        <f>IF(AND($A155=Dashboard!$B$8,$C155='Calc Engine'!$B$5,$E155&lt;&gt;""),$E155,"")</f>
        <v/>
      </c>
      <c r="Q155" s="108">
        <f>IF(NOT(ISNUMBER(Dashboard!$B$11)),-999,IF(AND($P155&lt;&gt;"",Dashboard!$B$11&gt;0,$P155&lt;=Dashboard!$B$11),$P155,-999))</f>
        <v>-999</v>
      </c>
      <c r="R155" s="108">
        <f>IF(NOT(ISNUMBER(Dashboard!$B$11)),999,IF(AND($P155&lt;&gt;"",Dashboard!$B$11&gt;0,$P155&gt;=Dashboard!$B$11),$P155,999))</f>
        <v>999</v>
      </c>
      <c r="S155" s="108" t="str">
        <f t="shared" si="2"/>
        <v/>
      </c>
    </row>
    <row r="156" spans="1:19" ht="27.4" customHeight="1">
      <c r="A156" s="1" t="s">
        <v>2145</v>
      </c>
      <c r="B156" s="1" t="s">
        <v>2186</v>
      </c>
      <c r="C156" s="1">
        <v>300</v>
      </c>
      <c r="D156" s="1">
        <v>9.6</v>
      </c>
      <c r="E156" s="1">
        <v>1.2010000000000001</v>
      </c>
      <c r="F156" s="1" t="s">
        <v>3010</v>
      </c>
      <c r="G156" s="1" t="s">
        <v>3170</v>
      </c>
      <c r="H156" s="1" t="s">
        <v>2195</v>
      </c>
      <c r="I156" s="1" t="s">
        <v>2195</v>
      </c>
      <c r="J156" s="1" t="s">
        <v>2208</v>
      </c>
      <c r="K156" s="108" t="str">
        <f>IF(AND($A156=Dashboard!$B$8,$C156='Calc Engine'!$B$5),$E156,"")</f>
        <v/>
      </c>
      <c r="L156" s="108">
        <f>IF(NOT(ISNUMBER(Dashboard!$B$11)),999,IF(OR(Dashboard!$B$11&lt;=0,$E156=""),999,ABS($E156-Dashboard!$B$11)))</f>
        <v>0.14900000000000002</v>
      </c>
      <c r="M156" s="108" t="str">
        <f>IF(NOT(ISNUMBER(Dashboard!$B$11)),"",IF(AND(Dashboard!$B$11&gt;0,$L156=MIN($L$2:$L$300)),"Closest overall reference",""))</f>
        <v/>
      </c>
      <c r="N156" s="108">
        <f>IF(NOT(ISNUMBER(Dashboard!$B$11)),999,IF(AND(Dashboard!$B$11&gt;0,$A156=Dashboard!$B$8,$E156&lt;&gt;""),ABS($E156-Dashboard!$B$11),999))</f>
        <v>999</v>
      </c>
      <c r="O156" s="108" t="str">
        <f>IF(NOT(ISNUMBER(Dashboard!$B$11)),"",IF(AND(Dashboard!$B$11&gt;0,$N156=MIN($N$2:$N$300)),"Closest same-material reference",""))</f>
        <v/>
      </c>
      <c r="P156" s="108" t="str">
        <f>IF(AND($A156=Dashboard!$B$8,$C156='Calc Engine'!$B$5,$E156&lt;&gt;""),$E156,"")</f>
        <v/>
      </c>
      <c r="Q156" s="108">
        <f>IF(NOT(ISNUMBER(Dashboard!$B$11)),-999,IF(AND($P156&lt;&gt;"",Dashboard!$B$11&gt;0,$P156&lt;=Dashboard!$B$11),$P156,-999))</f>
        <v>-999</v>
      </c>
      <c r="R156" s="108">
        <f>IF(NOT(ISNUMBER(Dashboard!$B$11)),999,IF(AND($P156&lt;&gt;"",Dashboard!$B$11&gt;0,$P156&gt;=Dashboard!$B$11),$P156,999))</f>
        <v>999</v>
      </c>
      <c r="S156" s="108" t="str">
        <f t="shared" si="2"/>
        <v/>
      </c>
    </row>
    <row r="157" spans="1:19" ht="27.4" customHeight="1">
      <c r="A157" s="1" t="s">
        <v>2145</v>
      </c>
      <c r="B157" s="1" t="s">
        <v>2192</v>
      </c>
      <c r="C157" s="1">
        <v>300</v>
      </c>
      <c r="D157" s="1">
        <v>11.2</v>
      </c>
      <c r="E157" s="1">
        <v>1.226</v>
      </c>
      <c r="F157" s="1" t="s">
        <v>3010</v>
      </c>
      <c r="G157" s="1" t="s">
        <v>3171</v>
      </c>
      <c r="H157" s="1" t="s">
        <v>2195</v>
      </c>
      <c r="I157" s="1" t="s">
        <v>2195</v>
      </c>
      <c r="J157" s="1" t="s">
        <v>2208</v>
      </c>
      <c r="K157" s="108" t="str">
        <f>IF(AND($A157=Dashboard!$B$8,$C157='Calc Engine'!$B$5),$E157,"")</f>
        <v/>
      </c>
      <c r="L157" s="108">
        <f>IF(NOT(ISNUMBER(Dashboard!$B$11)),999,IF(OR(Dashboard!$B$11&lt;=0,$E157=""),999,ABS($E157-Dashboard!$B$11)))</f>
        <v>0.12400000000000011</v>
      </c>
      <c r="M157" s="108" t="str">
        <f>IF(NOT(ISNUMBER(Dashboard!$B$11)),"",IF(AND(Dashboard!$B$11&gt;0,$L157=MIN($L$2:$L$300)),"Closest overall reference",""))</f>
        <v/>
      </c>
      <c r="N157" s="108">
        <f>IF(NOT(ISNUMBER(Dashboard!$B$11)),999,IF(AND(Dashboard!$B$11&gt;0,$A157=Dashboard!$B$8,$E157&lt;&gt;""),ABS($E157-Dashboard!$B$11),999))</f>
        <v>999</v>
      </c>
      <c r="O157" s="108" t="str">
        <f>IF(NOT(ISNUMBER(Dashboard!$B$11)),"",IF(AND(Dashboard!$B$11&gt;0,$N157=MIN($N$2:$N$300)),"Closest same-material reference",""))</f>
        <v/>
      </c>
      <c r="P157" s="108" t="str">
        <f>IF(AND($A157=Dashboard!$B$8,$C157='Calc Engine'!$B$5,$E157&lt;&gt;""),$E157,"")</f>
        <v/>
      </c>
      <c r="Q157" s="108">
        <f>IF(NOT(ISNUMBER(Dashboard!$B$11)),-999,IF(AND($P157&lt;&gt;"",Dashboard!$B$11&gt;0,$P157&lt;=Dashboard!$B$11),$P157,-999))</f>
        <v>-999</v>
      </c>
      <c r="R157" s="108">
        <f>IF(NOT(ISNUMBER(Dashboard!$B$11)),999,IF(AND($P157&lt;&gt;"",Dashboard!$B$11&gt;0,$P157&gt;=Dashboard!$B$11),$P157,999))</f>
        <v>999</v>
      </c>
      <c r="S157" s="108" t="str">
        <f t="shared" si="2"/>
        <v/>
      </c>
    </row>
    <row r="158" spans="1:19" ht="27.4" customHeight="1">
      <c r="A158" s="1" t="s">
        <v>2145</v>
      </c>
      <c r="B158" s="1" t="s">
        <v>2179</v>
      </c>
      <c r="C158" s="1">
        <v>300</v>
      </c>
      <c r="D158" s="1">
        <v>7.2</v>
      </c>
      <c r="E158" s="1">
        <v>1.1479999999999999</v>
      </c>
      <c r="F158" s="1" t="s">
        <v>3010</v>
      </c>
      <c r="G158" s="1" t="s">
        <v>3172</v>
      </c>
      <c r="H158" s="1" t="s">
        <v>2195</v>
      </c>
      <c r="I158" s="1" t="s">
        <v>2195</v>
      </c>
      <c r="J158" s="1" t="s">
        <v>2208</v>
      </c>
      <c r="K158" s="108" t="str">
        <f>IF(AND($A158=Dashboard!$B$8,$C158='Calc Engine'!$B$5),$E158,"")</f>
        <v/>
      </c>
      <c r="L158" s="108">
        <f>IF(NOT(ISNUMBER(Dashboard!$B$11)),999,IF(OR(Dashboard!$B$11&lt;=0,$E158=""),999,ABS($E158-Dashboard!$B$11)))</f>
        <v>0.20200000000000018</v>
      </c>
      <c r="M158" s="108" t="str">
        <f>IF(NOT(ISNUMBER(Dashboard!$B$11)),"",IF(AND(Dashboard!$B$11&gt;0,$L158=MIN($L$2:$L$300)),"Closest overall reference",""))</f>
        <v/>
      </c>
      <c r="N158" s="108">
        <f>IF(NOT(ISNUMBER(Dashboard!$B$11)),999,IF(AND(Dashboard!$B$11&gt;0,$A158=Dashboard!$B$8,$E158&lt;&gt;""),ABS($E158-Dashboard!$B$11),999))</f>
        <v>999</v>
      </c>
      <c r="O158" s="108" t="str">
        <f>IF(NOT(ISNUMBER(Dashboard!$B$11)),"",IF(AND(Dashboard!$B$11&gt;0,$N158=MIN($N$2:$N$300)),"Closest same-material reference",""))</f>
        <v/>
      </c>
      <c r="P158" s="108" t="str">
        <f>IF(AND($A158=Dashboard!$B$8,$C158='Calc Engine'!$B$5,$E158&lt;&gt;""),$E158,"")</f>
        <v/>
      </c>
      <c r="Q158" s="108">
        <f>IF(NOT(ISNUMBER(Dashboard!$B$11)),-999,IF(AND($P158&lt;&gt;"",Dashboard!$B$11&gt;0,$P158&lt;=Dashboard!$B$11),$P158,-999))</f>
        <v>-999</v>
      </c>
      <c r="R158" s="108">
        <f>IF(NOT(ISNUMBER(Dashboard!$B$11)),999,IF(AND($P158&lt;&gt;"",Dashboard!$B$11&gt;0,$P158&gt;=Dashboard!$B$11),$P158,999))</f>
        <v>999</v>
      </c>
      <c r="S158" s="108" t="str">
        <f t="shared" si="2"/>
        <v/>
      </c>
    </row>
    <row r="159" spans="1:19" ht="41.1" customHeight="1">
      <c r="A159" s="1" t="s">
        <v>2145</v>
      </c>
      <c r="B159" s="1" t="s">
        <v>3012</v>
      </c>
      <c r="C159" s="1">
        <v>300</v>
      </c>
      <c r="D159" s="1">
        <v>9.3333333333333339</v>
      </c>
      <c r="E159" s="1">
        <v>1.1916666666666671</v>
      </c>
      <c r="F159" s="1" t="s">
        <v>3013</v>
      </c>
      <c r="G159" s="1" t="s">
        <v>3173</v>
      </c>
      <c r="H159" s="1" t="s">
        <v>2195</v>
      </c>
      <c r="I159" s="1" t="s">
        <v>2195</v>
      </c>
      <c r="J159" s="1" t="s">
        <v>2208</v>
      </c>
      <c r="K159" s="108" t="str">
        <f>IF(AND($A159=Dashboard!$B$8,$C159='Calc Engine'!$B$5),$E159,"")</f>
        <v/>
      </c>
      <c r="L159" s="108">
        <f>IF(NOT(ISNUMBER(Dashboard!$B$11)),999,IF(OR(Dashboard!$B$11&lt;=0,$E159=""),999,ABS($E159-Dashboard!$B$11)))</f>
        <v>0.15833333333333299</v>
      </c>
      <c r="M159" s="108" t="str">
        <f>IF(NOT(ISNUMBER(Dashboard!$B$11)),"",IF(AND(Dashboard!$B$11&gt;0,$L159=MIN($L$2:$L$300)),"Closest overall reference",""))</f>
        <v/>
      </c>
      <c r="N159" s="108">
        <f>IF(NOT(ISNUMBER(Dashboard!$B$11)),999,IF(AND(Dashboard!$B$11&gt;0,$A159=Dashboard!$B$8,$E159&lt;&gt;""),ABS($E159-Dashboard!$B$11),999))</f>
        <v>999</v>
      </c>
      <c r="O159" s="108" t="str">
        <f>IF(NOT(ISNUMBER(Dashboard!$B$11)),"",IF(AND(Dashboard!$B$11&gt;0,$N159=MIN($N$2:$N$300)),"Closest same-material reference",""))</f>
        <v/>
      </c>
      <c r="P159" s="108" t="str">
        <f>IF(AND($A159=Dashboard!$B$8,$C159='Calc Engine'!$B$5,$E159&lt;&gt;""),$E159,"")</f>
        <v/>
      </c>
      <c r="Q159" s="108">
        <f>IF(NOT(ISNUMBER(Dashboard!$B$11)),-999,IF(AND($P159&lt;&gt;"",Dashboard!$B$11&gt;0,$P159&lt;=Dashboard!$B$11),$P159,-999))</f>
        <v>-999</v>
      </c>
      <c r="R159" s="108">
        <f>IF(NOT(ISNUMBER(Dashboard!$B$11)),999,IF(AND($P159&lt;&gt;"",Dashboard!$B$11&gt;0,$P159&gt;=Dashboard!$B$11),$P159,999))</f>
        <v>999</v>
      </c>
      <c r="S159" s="108" t="str">
        <f t="shared" si="2"/>
        <v/>
      </c>
    </row>
    <row r="160" spans="1:19" ht="54.75" customHeight="1">
      <c r="A160" s="1" t="s">
        <v>2145</v>
      </c>
      <c r="B160" s="1" t="s">
        <v>3015</v>
      </c>
      <c r="C160" s="1">
        <v>300</v>
      </c>
      <c r="D160" s="1">
        <v>7.2</v>
      </c>
      <c r="E160" s="1">
        <v>1.1479999999999999</v>
      </c>
      <c r="F160" s="1" t="s">
        <v>3016</v>
      </c>
      <c r="G160" s="1" t="s">
        <v>3174</v>
      </c>
      <c r="H160" s="1" t="s">
        <v>2195</v>
      </c>
      <c r="I160" s="1" t="s">
        <v>2195</v>
      </c>
      <c r="J160" s="1" t="s">
        <v>2208</v>
      </c>
      <c r="K160" s="108" t="str">
        <f>IF(AND($A160=Dashboard!$B$8,$C160='Calc Engine'!$B$5),$E160,"")</f>
        <v/>
      </c>
      <c r="L160" s="108">
        <f>IF(NOT(ISNUMBER(Dashboard!$B$11)),999,IF(OR(Dashboard!$B$11&lt;=0,$E160=""),999,ABS($E160-Dashboard!$B$11)))</f>
        <v>0.20200000000000018</v>
      </c>
      <c r="M160" s="108" t="str">
        <f>IF(NOT(ISNUMBER(Dashboard!$B$11)),"",IF(AND(Dashboard!$B$11&gt;0,$L160=MIN($L$2:$L$300)),"Closest overall reference",""))</f>
        <v/>
      </c>
      <c r="N160" s="108">
        <f>IF(NOT(ISNUMBER(Dashboard!$B$11)),999,IF(AND(Dashboard!$B$11&gt;0,$A160=Dashboard!$B$8,$E160&lt;&gt;""),ABS($E160-Dashboard!$B$11),999))</f>
        <v>999</v>
      </c>
      <c r="O160" s="108" t="str">
        <f>IF(NOT(ISNUMBER(Dashboard!$B$11)),"",IF(AND(Dashboard!$B$11&gt;0,$N160=MIN($N$2:$N$300)),"Closest same-material reference",""))</f>
        <v/>
      </c>
      <c r="P160" s="108" t="str">
        <f>IF(AND($A160=Dashboard!$B$8,$C160='Calc Engine'!$B$5,$E160&lt;&gt;""),$E160,"")</f>
        <v/>
      </c>
      <c r="Q160" s="108">
        <f>IF(NOT(ISNUMBER(Dashboard!$B$11)),-999,IF(AND($P160&lt;&gt;"",Dashboard!$B$11&gt;0,$P160&lt;=Dashboard!$B$11),$P160,-999))</f>
        <v>-999</v>
      </c>
      <c r="R160" s="108">
        <f>IF(NOT(ISNUMBER(Dashboard!$B$11)),999,IF(AND($P160&lt;&gt;"",Dashboard!$B$11&gt;0,$P160&gt;=Dashboard!$B$11),$P160,999))</f>
        <v>999</v>
      </c>
      <c r="S160" s="108" t="str">
        <f t="shared" si="2"/>
        <v/>
      </c>
    </row>
    <row r="161" spans="1:19" ht="27.4" customHeight="1">
      <c r="A161" s="1" t="s">
        <v>2145</v>
      </c>
      <c r="B161" s="1" t="s">
        <v>2186</v>
      </c>
      <c r="C161" s="1">
        <v>350</v>
      </c>
      <c r="D161" s="1">
        <v>10.199999999999999</v>
      </c>
      <c r="E161" s="1">
        <v>1.1850000000000001</v>
      </c>
      <c r="F161" s="1" t="s">
        <v>3010</v>
      </c>
      <c r="G161" s="1" t="s">
        <v>3175</v>
      </c>
      <c r="H161" s="1" t="s">
        <v>2195</v>
      </c>
      <c r="I161" s="1" t="s">
        <v>2195</v>
      </c>
      <c r="J161" s="1" t="s">
        <v>2208</v>
      </c>
      <c r="K161" s="108" t="str">
        <f>IF(AND($A161=Dashboard!$B$8,$C161='Calc Engine'!$B$5),$E161,"")</f>
        <v/>
      </c>
      <c r="L161" s="108">
        <f>IF(NOT(ISNUMBER(Dashboard!$B$11)),999,IF(OR(Dashboard!$B$11&lt;=0,$E161=""),999,ABS($E161-Dashboard!$B$11)))</f>
        <v>0.16500000000000004</v>
      </c>
      <c r="M161" s="108" t="str">
        <f>IF(NOT(ISNUMBER(Dashboard!$B$11)),"",IF(AND(Dashboard!$B$11&gt;0,$L161=MIN($L$2:$L$300)),"Closest overall reference",""))</f>
        <v/>
      </c>
      <c r="N161" s="108">
        <f>IF(NOT(ISNUMBER(Dashboard!$B$11)),999,IF(AND(Dashboard!$B$11&gt;0,$A161=Dashboard!$B$8,$E161&lt;&gt;""),ABS($E161-Dashboard!$B$11),999))</f>
        <v>999</v>
      </c>
      <c r="O161" s="108" t="str">
        <f>IF(NOT(ISNUMBER(Dashboard!$B$11)),"",IF(AND(Dashboard!$B$11&gt;0,$N161=MIN($N$2:$N$300)),"Closest same-material reference",""))</f>
        <v/>
      </c>
      <c r="P161" s="108" t="str">
        <f>IF(AND($A161=Dashboard!$B$8,$C161='Calc Engine'!$B$5,$E161&lt;&gt;""),$E161,"")</f>
        <v/>
      </c>
      <c r="Q161" s="108">
        <f>IF(NOT(ISNUMBER(Dashboard!$B$11)),-999,IF(AND($P161&lt;&gt;"",Dashboard!$B$11&gt;0,$P161&lt;=Dashboard!$B$11),$P161,-999))</f>
        <v>-999</v>
      </c>
      <c r="R161" s="108">
        <f>IF(NOT(ISNUMBER(Dashboard!$B$11)),999,IF(AND($P161&lt;&gt;"",Dashboard!$B$11&gt;0,$P161&gt;=Dashboard!$B$11),$P161,999))</f>
        <v>999</v>
      </c>
      <c r="S161" s="108" t="str">
        <f t="shared" si="2"/>
        <v/>
      </c>
    </row>
    <row r="162" spans="1:19" ht="27.4" customHeight="1">
      <c r="A162" s="1" t="s">
        <v>2145</v>
      </c>
      <c r="B162" s="1" t="s">
        <v>2192</v>
      </c>
      <c r="C162" s="1">
        <v>350</v>
      </c>
      <c r="D162" s="1">
        <v>11.9</v>
      </c>
      <c r="E162" s="1">
        <v>1.2110000000000001</v>
      </c>
      <c r="F162" s="1" t="s">
        <v>3010</v>
      </c>
      <c r="G162" s="1" t="s">
        <v>3176</v>
      </c>
      <c r="H162" s="1" t="s">
        <v>2195</v>
      </c>
      <c r="I162" s="1" t="s">
        <v>2195</v>
      </c>
      <c r="J162" s="1" t="s">
        <v>2208</v>
      </c>
      <c r="K162" s="108" t="str">
        <f>IF(AND($A162=Dashboard!$B$8,$C162='Calc Engine'!$B$5),$E162,"")</f>
        <v/>
      </c>
      <c r="L162" s="108">
        <f>IF(NOT(ISNUMBER(Dashboard!$B$11)),999,IF(OR(Dashboard!$B$11&lt;=0,$E162=""),999,ABS($E162-Dashboard!$B$11)))</f>
        <v>0.13900000000000001</v>
      </c>
      <c r="M162" s="108" t="str">
        <f>IF(NOT(ISNUMBER(Dashboard!$B$11)),"",IF(AND(Dashboard!$B$11&gt;0,$L162=MIN($L$2:$L$300)),"Closest overall reference",""))</f>
        <v/>
      </c>
      <c r="N162" s="108">
        <f>IF(NOT(ISNUMBER(Dashboard!$B$11)),999,IF(AND(Dashboard!$B$11&gt;0,$A162=Dashboard!$B$8,$E162&lt;&gt;""),ABS($E162-Dashboard!$B$11),999))</f>
        <v>999</v>
      </c>
      <c r="O162" s="108" t="str">
        <f>IF(NOT(ISNUMBER(Dashboard!$B$11)),"",IF(AND(Dashboard!$B$11&gt;0,$N162=MIN($N$2:$N$300)),"Closest same-material reference",""))</f>
        <v/>
      </c>
      <c r="P162" s="108" t="str">
        <f>IF(AND($A162=Dashboard!$B$8,$C162='Calc Engine'!$B$5,$E162&lt;&gt;""),$E162,"")</f>
        <v/>
      </c>
      <c r="Q162" s="108">
        <f>IF(NOT(ISNUMBER(Dashboard!$B$11)),-999,IF(AND($P162&lt;&gt;"",Dashboard!$B$11&gt;0,$P162&lt;=Dashboard!$B$11),$P162,-999))</f>
        <v>-999</v>
      </c>
      <c r="R162" s="108">
        <f>IF(NOT(ISNUMBER(Dashboard!$B$11)),999,IF(AND($P162&lt;&gt;"",Dashboard!$B$11&gt;0,$P162&gt;=Dashboard!$B$11),$P162,999))</f>
        <v>999</v>
      </c>
      <c r="S162" s="108" t="str">
        <f t="shared" si="2"/>
        <v/>
      </c>
    </row>
    <row r="163" spans="1:19" ht="27.4" customHeight="1">
      <c r="A163" s="1" t="s">
        <v>2145</v>
      </c>
      <c r="B163" s="1" t="s">
        <v>2179</v>
      </c>
      <c r="C163" s="1">
        <v>350</v>
      </c>
      <c r="D163" s="1">
        <v>7.7</v>
      </c>
      <c r="E163" s="1">
        <v>1.129</v>
      </c>
      <c r="F163" s="1" t="s">
        <v>3010</v>
      </c>
      <c r="G163" s="1" t="s">
        <v>3177</v>
      </c>
      <c r="H163" s="1" t="s">
        <v>2195</v>
      </c>
      <c r="I163" s="1" t="s">
        <v>2195</v>
      </c>
      <c r="J163" s="1" t="s">
        <v>2208</v>
      </c>
      <c r="K163" s="108" t="str">
        <f>IF(AND($A163=Dashboard!$B$8,$C163='Calc Engine'!$B$5),$E163,"")</f>
        <v/>
      </c>
      <c r="L163" s="108">
        <f>IF(NOT(ISNUMBER(Dashboard!$B$11)),999,IF(OR(Dashboard!$B$11&lt;=0,$E163=""),999,ABS($E163-Dashboard!$B$11)))</f>
        <v>0.22100000000000009</v>
      </c>
      <c r="M163" s="108" t="str">
        <f>IF(NOT(ISNUMBER(Dashboard!$B$11)),"",IF(AND(Dashboard!$B$11&gt;0,$L163=MIN($L$2:$L$300)),"Closest overall reference",""))</f>
        <v/>
      </c>
      <c r="N163" s="108">
        <f>IF(NOT(ISNUMBER(Dashboard!$B$11)),999,IF(AND(Dashboard!$B$11&gt;0,$A163=Dashboard!$B$8,$E163&lt;&gt;""),ABS($E163-Dashboard!$B$11),999))</f>
        <v>999</v>
      </c>
      <c r="O163" s="108" t="str">
        <f>IF(NOT(ISNUMBER(Dashboard!$B$11)),"",IF(AND(Dashboard!$B$11&gt;0,$N163=MIN($N$2:$N$300)),"Closest same-material reference",""))</f>
        <v/>
      </c>
      <c r="P163" s="108" t="str">
        <f>IF(AND($A163=Dashboard!$B$8,$C163='Calc Engine'!$B$5,$E163&lt;&gt;""),$E163,"")</f>
        <v/>
      </c>
      <c r="Q163" s="108">
        <f>IF(NOT(ISNUMBER(Dashboard!$B$11)),-999,IF(AND($P163&lt;&gt;"",Dashboard!$B$11&gt;0,$P163&lt;=Dashboard!$B$11),$P163,-999))</f>
        <v>-999</v>
      </c>
      <c r="R163" s="108">
        <f>IF(NOT(ISNUMBER(Dashboard!$B$11)),999,IF(AND($P163&lt;&gt;"",Dashboard!$B$11&gt;0,$P163&gt;=Dashboard!$B$11),$P163,999))</f>
        <v>999</v>
      </c>
      <c r="S163" s="108" t="str">
        <f t="shared" si="2"/>
        <v/>
      </c>
    </row>
    <row r="164" spans="1:19" ht="41.1" customHeight="1">
      <c r="A164" s="1" t="s">
        <v>2145</v>
      </c>
      <c r="B164" s="1" t="s">
        <v>3012</v>
      </c>
      <c r="C164" s="1">
        <v>350</v>
      </c>
      <c r="D164" s="1">
        <v>9.9333333333333336</v>
      </c>
      <c r="E164" s="1">
        <v>1.175</v>
      </c>
      <c r="F164" s="1" t="s">
        <v>3013</v>
      </c>
      <c r="G164" s="1" t="s">
        <v>3178</v>
      </c>
      <c r="H164" s="1" t="s">
        <v>2195</v>
      </c>
      <c r="I164" s="1" t="s">
        <v>2195</v>
      </c>
      <c r="J164" s="1" t="s">
        <v>2208</v>
      </c>
      <c r="K164" s="108" t="str">
        <f>IF(AND($A164=Dashboard!$B$8,$C164='Calc Engine'!$B$5),$E164,"")</f>
        <v/>
      </c>
      <c r="L164" s="108">
        <f>IF(NOT(ISNUMBER(Dashboard!$B$11)),999,IF(OR(Dashboard!$B$11&lt;=0,$E164=""),999,ABS($E164-Dashboard!$B$11)))</f>
        <v>0.17500000000000004</v>
      </c>
      <c r="M164" s="108" t="str">
        <f>IF(NOT(ISNUMBER(Dashboard!$B$11)),"",IF(AND(Dashboard!$B$11&gt;0,$L164=MIN($L$2:$L$300)),"Closest overall reference",""))</f>
        <v/>
      </c>
      <c r="N164" s="108">
        <f>IF(NOT(ISNUMBER(Dashboard!$B$11)),999,IF(AND(Dashboard!$B$11&gt;0,$A164=Dashboard!$B$8,$E164&lt;&gt;""),ABS($E164-Dashboard!$B$11),999))</f>
        <v>999</v>
      </c>
      <c r="O164" s="108" t="str">
        <f>IF(NOT(ISNUMBER(Dashboard!$B$11)),"",IF(AND(Dashboard!$B$11&gt;0,$N164=MIN($N$2:$N$300)),"Closest same-material reference",""))</f>
        <v/>
      </c>
      <c r="P164" s="108" t="str">
        <f>IF(AND($A164=Dashboard!$B$8,$C164='Calc Engine'!$B$5,$E164&lt;&gt;""),$E164,"")</f>
        <v/>
      </c>
      <c r="Q164" s="108">
        <f>IF(NOT(ISNUMBER(Dashboard!$B$11)),-999,IF(AND($P164&lt;&gt;"",Dashboard!$B$11&gt;0,$P164&lt;=Dashboard!$B$11),$P164,-999))</f>
        <v>-999</v>
      </c>
      <c r="R164" s="108">
        <f>IF(NOT(ISNUMBER(Dashboard!$B$11)),999,IF(AND($P164&lt;&gt;"",Dashboard!$B$11&gt;0,$P164&gt;=Dashboard!$B$11),$P164,999))</f>
        <v>999</v>
      </c>
      <c r="S164" s="108" t="str">
        <f t="shared" si="2"/>
        <v/>
      </c>
    </row>
    <row r="165" spans="1:19" ht="54.75" customHeight="1">
      <c r="A165" s="1" t="s">
        <v>2145</v>
      </c>
      <c r="B165" s="1" t="s">
        <v>3015</v>
      </c>
      <c r="C165" s="1">
        <v>350</v>
      </c>
      <c r="D165" s="1">
        <v>7.7</v>
      </c>
      <c r="E165" s="1">
        <v>1.129</v>
      </c>
      <c r="F165" s="1" t="s">
        <v>3016</v>
      </c>
      <c r="G165" s="1" t="s">
        <v>3179</v>
      </c>
      <c r="H165" s="1" t="s">
        <v>2195</v>
      </c>
      <c r="I165" s="1" t="s">
        <v>2195</v>
      </c>
      <c r="J165" s="1" t="s">
        <v>2208</v>
      </c>
      <c r="K165" s="108" t="str">
        <f>IF(AND($A165=Dashboard!$B$8,$C165='Calc Engine'!$B$5),$E165,"")</f>
        <v/>
      </c>
      <c r="L165" s="108">
        <f>IF(NOT(ISNUMBER(Dashboard!$B$11)),999,IF(OR(Dashboard!$B$11&lt;=0,$E165=""),999,ABS($E165-Dashboard!$B$11)))</f>
        <v>0.22100000000000009</v>
      </c>
      <c r="M165" s="108" t="str">
        <f>IF(NOT(ISNUMBER(Dashboard!$B$11)),"",IF(AND(Dashboard!$B$11&gt;0,$L165=MIN($L$2:$L$300)),"Closest overall reference",""))</f>
        <v/>
      </c>
      <c r="N165" s="108">
        <f>IF(NOT(ISNUMBER(Dashboard!$B$11)),999,IF(AND(Dashboard!$B$11&gt;0,$A165=Dashboard!$B$8,$E165&lt;&gt;""),ABS($E165-Dashboard!$B$11),999))</f>
        <v>999</v>
      </c>
      <c r="O165" s="108" t="str">
        <f>IF(NOT(ISNUMBER(Dashboard!$B$11)),"",IF(AND(Dashboard!$B$11&gt;0,$N165=MIN($N$2:$N$300)),"Closest same-material reference",""))</f>
        <v/>
      </c>
      <c r="P165" s="108" t="str">
        <f>IF(AND($A165=Dashboard!$B$8,$C165='Calc Engine'!$B$5,$E165&lt;&gt;""),$E165,"")</f>
        <v/>
      </c>
      <c r="Q165" s="108">
        <f>IF(NOT(ISNUMBER(Dashboard!$B$11)),-999,IF(AND($P165&lt;&gt;"",Dashboard!$B$11&gt;0,$P165&lt;=Dashboard!$B$11),$P165,-999))</f>
        <v>-999</v>
      </c>
      <c r="R165" s="108">
        <f>IF(NOT(ISNUMBER(Dashboard!$B$11)),999,IF(AND($P165&lt;&gt;"",Dashboard!$B$11&gt;0,$P165&gt;=Dashboard!$B$11),$P165,999))</f>
        <v>999</v>
      </c>
      <c r="S165" s="108" t="str">
        <f t="shared" si="2"/>
        <v/>
      </c>
    </row>
    <row r="166" spans="1:19" ht="27.4" customHeight="1">
      <c r="A166" s="1" t="s">
        <v>2145</v>
      </c>
      <c r="B166" s="1" t="s">
        <v>2186</v>
      </c>
      <c r="C166" s="1">
        <v>400</v>
      </c>
      <c r="D166" s="1">
        <v>10.8</v>
      </c>
      <c r="E166" s="1">
        <v>1.171</v>
      </c>
      <c r="F166" s="1" t="s">
        <v>3010</v>
      </c>
      <c r="G166" s="1" t="s">
        <v>3180</v>
      </c>
      <c r="H166" s="1" t="s">
        <v>2195</v>
      </c>
      <c r="I166" s="1" t="s">
        <v>2195</v>
      </c>
      <c r="J166" s="1" t="s">
        <v>2208</v>
      </c>
      <c r="K166" s="108" t="str">
        <f>IF(AND($A166=Dashboard!$B$8,$C166='Calc Engine'!$B$5),$E166,"")</f>
        <v/>
      </c>
      <c r="L166" s="108">
        <f>IF(NOT(ISNUMBER(Dashboard!$B$11)),999,IF(OR(Dashboard!$B$11&lt;=0,$E166=""),999,ABS($E166-Dashboard!$B$11)))</f>
        <v>0.17900000000000005</v>
      </c>
      <c r="M166" s="108" t="str">
        <f>IF(NOT(ISNUMBER(Dashboard!$B$11)),"",IF(AND(Dashboard!$B$11&gt;0,$L166=MIN($L$2:$L$300)),"Closest overall reference",""))</f>
        <v/>
      </c>
      <c r="N166" s="108">
        <f>IF(NOT(ISNUMBER(Dashboard!$B$11)),999,IF(AND(Dashboard!$B$11&gt;0,$A166=Dashboard!$B$8,$E166&lt;&gt;""),ABS($E166-Dashboard!$B$11),999))</f>
        <v>999</v>
      </c>
      <c r="O166" s="108" t="str">
        <f>IF(NOT(ISNUMBER(Dashboard!$B$11)),"",IF(AND(Dashboard!$B$11&gt;0,$N166=MIN($N$2:$N$300)),"Closest same-material reference",""))</f>
        <v/>
      </c>
      <c r="P166" s="108" t="str">
        <f>IF(AND($A166=Dashboard!$B$8,$C166='Calc Engine'!$B$5,$E166&lt;&gt;""),$E166,"")</f>
        <v/>
      </c>
      <c r="Q166" s="108">
        <f>IF(NOT(ISNUMBER(Dashboard!$B$11)),-999,IF(AND($P166&lt;&gt;"",Dashboard!$B$11&gt;0,$P166&lt;=Dashboard!$B$11),$P166,-999))</f>
        <v>-999</v>
      </c>
      <c r="R166" s="108">
        <f>IF(NOT(ISNUMBER(Dashboard!$B$11)),999,IF(AND($P166&lt;&gt;"",Dashboard!$B$11&gt;0,$P166&gt;=Dashboard!$B$11),$P166,999))</f>
        <v>999</v>
      </c>
      <c r="S166" s="108" t="str">
        <f t="shared" si="2"/>
        <v/>
      </c>
    </row>
    <row r="167" spans="1:19" ht="27.4" customHeight="1">
      <c r="A167" s="1" t="s">
        <v>2145</v>
      </c>
      <c r="B167" s="1" t="s">
        <v>2192</v>
      </c>
      <c r="C167" s="1">
        <v>400</v>
      </c>
      <c r="D167" s="1">
        <v>12.6</v>
      </c>
      <c r="E167" s="1">
        <v>1.198</v>
      </c>
      <c r="F167" s="1" t="s">
        <v>3010</v>
      </c>
      <c r="G167" s="1" t="s">
        <v>3181</v>
      </c>
      <c r="H167" s="1" t="s">
        <v>2195</v>
      </c>
      <c r="I167" s="1" t="s">
        <v>2195</v>
      </c>
      <c r="J167" s="1" t="s">
        <v>2208</v>
      </c>
      <c r="K167" s="108" t="str">
        <f>IF(AND($A167=Dashboard!$B$8,$C167='Calc Engine'!$B$5),$E167,"")</f>
        <v/>
      </c>
      <c r="L167" s="108">
        <f>IF(NOT(ISNUMBER(Dashboard!$B$11)),999,IF(OR(Dashboard!$B$11&lt;=0,$E167=""),999,ABS($E167-Dashboard!$B$11)))</f>
        <v>0.15200000000000014</v>
      </c>
      <c r="M167" s="108" t="str">
        <f>IF(NOT(ISNUMBER(Dashboard!$B$11)),"",IF(AND(Dashboard!$B$11&gt;0,$L167=MIN($L$2:$L$300)),"Closest overall reference",""))</f>
        <v/>
      </c>
      <c r="N167" s="108">
        <f>IF(NOT(ISNUMBER(Dashboard!$B$11)),999,IF(AND(Dashboard!$B$11&gt;0,$A167=Dashboard!$B$8,$E167&lt;&gt;""),ABS($E167-Dashboard!$B$11),999))</f>
        <v>999</v>
      </c>
      <c r="O167" s="108" t="str">
        <f>IF(NOT(ISNUMBER(Dashboard!$B$11)),"",IF(AND(Dashboard!$B$11&gt;0,$N167=MIN($N$2:$N$300)),"Closest same-material reference",""))</f>
        <v/>
      </c>
      <c r="P167" s="108" t="str">
        <f>IF(AND($A167=Dashboard!$B$8,$C167='Calc Engine'!$B$5,$E167&lt;&gt;""),$E167,"")</f>
        <v/>
      </c>
      <c r="Q167" s="108">
        <f>IF(NOT(ISNUMBER(Dashboard!$B$11)),-999,IF(AND($P167&lt;&gt;"",Dashboard!$B$11&gt;0,$P167&lt;=Dashboard!$B$11),$P167,-999))</f>
        <v>-999</v>
      </c>
      <c r="R167" s="108">
        <f>IF(NOT(ISNUMBER(Dashboard!$B$11)),999,IF(AND($P167&lt;&gt;"",Dashboard!$B$11&gt;0,$P167&gt;=Dashboard!$B$11),$P167,999))</f>
        <v>999</v>
      </c>
      <c r="S167" s="108" t="str">
        <f t="shared" si="2"/>
        <v/>
      </c>
    </row>
    <row r="168" spans="1:19" ht="27.4" customHeight="1">
      <c r="A168" s="1" t="s">
        <v>2145</v>
      </c>
      <c r="B168" s="1" t="s">
        <v>2179</v>
      </c>
      <c r="C168" s="1">
        <v>400</v>
      </c>
      <c r="D168" s="1">
        <v>8.1</v>
      </c>
      <c r="E168" s="1">
        <v>1.113</v>
      </c>
      <c r="F168" s="1" t="s">
        <v>3010</v>
      </c>
      <c r="G168" s="1" t="s">
        <v>3182</v>
      </c>
      <c r="H168" s="1" t="s">
        <v>2195</v>
      </c>
      <c r="I168" s="1" t="s">
        <v>2195</v>
      </c>
      <c r="J168" s="1" t="s">
        <v>2208</v>
      </c>
      <c r="K168" s="108" t="str">
        <f>IF(AND($A168=Dashboard!$B$8,$C168='Calc Engine'!$B$5),$E168,"")</f>
        <v/>
      </c>
      <c r="L168" s="108">
        <f>IF(NOT(ISNUMBER(Dashboard!$B$11)),999,IF(OR(Dashboard!$B$11&lt;=0,$E168=""),999,ABS($E168-Dashboard!$B$11)))</f>
        <v>0.2370000000000001</v>
      </c>
      <c r="M168" s="108" t="str">
        <f>IF(NOT(ISNUMBER(Dashboard!$B$11)),"",IF(AND(Dashboard!$B$11&gt;0,$L168=MIN($L$2:$L$300)),"Closest overall reference",""))</f>
        <v/>
      </c>
      <c r="N168" s="108">
        <f>IF(NOT(ISNUMBER(Dashboard!$B$11)),999,IF(AND(Dashboard!$B$11&gt;0,$A168=Dashboard!$B$8,$E168&lt;&gt;""),ABS($E168-Dashboard!$B$11),999))</f>
        <v>999</v>
      </c>
      <c r="O168" s="108" t="str">
        <f>IF(NOT(ISNUMBER(Dashboard!$B$11)),"",IF(AND(Dashboard!$B$11&gt;0,$N168=MIN($N$2:$N$300)),"Closest same-material reference",""))</f>
        <v/>
      </c>
      <c r="P168" s="108" t="str">
        <f>IF(AND($A168=Dashboard!$B$8,$C168='Calc Engine'!$B$5,$E168&lt;&gt;""),$E168,"")</f>
        <v/>
      </c>
      <c r="Q168" s="108">
        <f>IF(NOT(ISNUMBER(Dashboard!$B$11)),-999,IF(AND($P168&lt;&gt;"",Dashboard!$B$11&gt;0,$P168&lt;=Dashboard!$B$11),$P168,-999))</f>
        <v>-999</v>
      </c>
      <c r="R168" s="108">
        <f>IF(NOT(ISNUMBER(Dashboard!$B$11)),999,IF(AND($P168&lt;&gt;"",Dashboard!$B$11&gt;0,$P168&gt;=Dashboard!$B$11),$P168,999))</f>
        <v>999</v>
      </c>
      <c r="S168" s="108" t="str">
        <f t="shared" si="2"/>
        <v/>
      </c>
    </row>
    <row r="169" spans="1:19" ht="41.1" customHeight="1">
      <c r="A169" s="1" t="s">
        <v>2145</v>
      </c>
      <c r="B169" s="1" t="s">
        <v>3012</v>
      </c>
      <c r="C169" s="1">
        <v>400</v>
      </c>
      <c r="D169" s="1">
        <v>10.5</v>
      </c>
      <c r="E169" s="1">
        <v>1.160666666666667</v>
      </c>
      <c r="F169" s="1" t="s">
        <v>3013</v>
      </c>
      <c r="G169" s="1" t="s">
        <v>3183</v>
      </c>
      <c r="H169" s="1" t="s">
        <v>2195</v>
      </c>
      <c r="I169" s="1" t="s">
        <v>2195</v>
      </c>
      <c r="J169" s="1" t="s">
        <v>2208</v>
      </c>
      <c r="K169" s="108" t="str">
        <f>IF(AND($A169=Dashboard!$B$8,$C169='Calc Engine'!$B$5),$E169,"")</f>
        <v/>
      </c>
      <c r="L169" s="108">
        <f>IF(NOT(ISNUMBER(Dashboard!$B$11)),999,IF(OR(Dashboard!$B$11&lt;=0,$E169=""),999,ABS($E169-Dashboard!$B$11)))</f>
        <v>0.18933333333333313</v>
      </c>
      <c r="M169" s="108" t="str">
        <f>IF(NOT(ISNUMBER(Dashboard!$B$11)),"",IF(AND(Dashboard!$B$11&gt;0,$L169=MIN($L$2:$L$300)),"Closest overall reference",""))</f>
        <v/>
      </c>
      <c r="N169" s="108">
        <f>IF(NOT(ISNUMBER(Dashboard!$B$11)),999,IF(AND(Dashboard!$B$11&gt;0,$A169=Dashboard!$B$8,$E169&lt;&gt;""),ABS($E169-Dashboard!$B$11),999))</f>
        <v>999</v>
      </c>
      <c r="O169" s="108" t="str">
        <f>IF(NOT(ISNUMBER(Dashboard!$B$11)),"",IF(AND(Dashboard!$B$11&gt;0,$N169=MIN($N$2:$N$300)),"Closest same-material reference",""))</f>
        <v/>
      </c>
      <c r="P169" s="108" t="str">
        <f>IF(AND($A169=Dashboard!$B$8,$C169='Calc Engine'!$B$5,$E169&lt;&gt;""),$E169,"")</f>
        <v/>
      </c>
      <c r="Q169" s="108">
        <f>IF(NOT(ISNUMBER(Dashboard!$B$11)),-999,IF(AND($P169&lt;&gt;"",Dashboard!$B$11&gt;0,$P169&lt;=Dashboard!$B$11),$P169,-999))</f>
        <v>-999</v>
      </c>
      <c r="R169" s="108">
        <f>IF(NOT(ISNUMBER(Dashboard!$B$11)),999,IF(AND($P169&lt;&gt;"",Dashboard!$B$11&gt;0,$P169&gt;=Dashboard!$B$11),$P169,999))</f>
        <v>999</v>
      </c>
      <c r="S169" s="108" t="str">
        <f t="shared" si="2"/>
        <v/>
      </c>
    </row>
    <row r="170" spans="1:19" ht="54.75" customHeight="1">
      <c r="A170" s="1" t="s">
        <v>2145</v>
      </c>
      <c r="B170" s="1" t="s">
        <v>3015</v>
      </c>
      <c r="C170" s="1">
        <v>400</v>
      </c>
      <c r="D170" s="1">
        <v>8.1</v>
      </c>
      <c r="E170" s="1">
        <v>1.113</v>
      </c>
      <c r="F170" s="1" t="s">
        <v>3016</v>
      </c>
      <c r="G170" s="1" t="s">
        <v>3184</v>
      </c>
      <c r="H170" s="1" t="s">
        <v>2195</v>
      </c>
      <c r="I170" s="1" t="s">
        <v>2195</v>
      </c>
      <c r="J170" s="1" t="s">
        <v>2208</v>
      </c>
      <c r="K170" s="108" t="str">
        <f>IF(AND($A170=Dashboard!$B$8,$C170='Calc Engine'!$B$5),$E170,"")</f>
        <v/>
      </c>
      <c r="L170" s="108">
        <f>IF(NOT(ISNUMBER(Dashboard!$B$11)),999,IF(OR(Dashboard!$B$11&lt;=0,$E170=""),999,ABS($E170-Dashboard!$B$11)))</f>
        <v>0.2370000000000001</v>
      </c>
      <c r="M170" s="108" t="str">
        <f>IF(NOT(ISNUMBER(Dashboard!$B$11)),"",IF(AND(Dashboard!$B$11&gt;0,$L170=MIN($L$2:$L$300)),"Closest overall reference",""))</f>
        <v/>
      </c>
      <c r="N170" s="108">
        <f>IF(NOT(ISNUMBER(Dashboard!$B$11)),999,IF(AND(Dashboard!$B$11&gt;0,$A170=Dashboard!$B$8,$E170&lt;&gt;""),ABS($E170-Dashboard!$B$11),999))</f>
        <v>999</v>
      </c>
      <c r="O170" s="108" t="str">
        <f>IF(NOT(ISNUMBER(Dashboard!$B$11)),"",IF(AND(Dashboard!$B$11&gt;0,$N170=MIN($N$2:$N$300)),"Closest same-material reference",""))</f>
        <v/>
      </c>
      <c r="P170" s="108" t="str">
        <f>IF(AND($A170=Dashboard!$B$8,$C170='Calc Engine'!$B$5,$E170&lt;&gt;""),$E170,"")</f>
        <v/>
      </c>
      <c r="Q170" s="108">
        <f>IF(NOT(ISNUMBER(Dashboard!$B$11)),-999,IF(AND($P170&lt;&gt;"",Dashboard!$B$11&gt;0,$P170&lt;=Dashboard!$B$11),$P170,-999))</f>
        <v>-999</v>
      </c>
      <c r="R170" s="108">
        <f>IF(NOT(ISNUMBER(Dashboard!$B$11)),999,IF(AND($P170&lt;&gt;"",Dashboard!$B$11&gt;0,$P170&gt;=Dashboard!$B$11),$P170,999))</f>
        <v>999</v>
      </c>
      <c r="S170" s="108" t="str">
        <f t="shared" si="2"/>
        <v/>
      </c>
    </row>
    <row r="171" spans="1:19" ht="27.4" customHeight="1">
      <c r="A171" s="1" t="s">
        <v>2145</v>
      </c>
      <c r="B171" s="1" t="s">
        <v>2186</v>
      </c>
      <c r="C171" s="1">
        <v>450</v>
      </c>
      <c r="D171" s="1">
        <v>11.4</v>
      </c>
      <c r="E171" s="1">
        <v>1.159</v>
      </c>
      <c r="F171" s="1" t="s">
        <v>3010</v>
      </c>
      <c r="G171" s="1" t="s">
        <v>3185</v>
      </c>
      <c r="H171" s="1" t="s">
        <v>2195</v>
      </c>
      <c r="I171" s="1" t="s">
        <v>2195</v>
      </c>
      <c r="J171" s="1" t="s">
        <v>2208</v>
      </c>
      <c r="K171" s="108" t="str">
        <f>IF(AND($A171=Dashboard!$B$8,$C171='Calc Engine'!$B$5),$E171,"")</f>
        <v/>
      </c>
      <c r="L171" s="108">
        <f>IF(NOT(ISNUMBER(Dashboard!$B$11)),999,IF(OR(Dashboard!$B$11&lt;=0,$E171=""),999,ABS($E171-Dashboard!$B$11)))</f>
        <v>0.19100000000000006</v>
      </c>
      <c r="M171" s="108" t="str">
        <f>IF(NOT(ISNUMBER(Dashboard!$B$11)),"",IF(AND(Dashboard!$B$11&gt;0,$L171=MIN($L$2:$L$300)),"Closest overall reference",""))</f>
        <v/>
      </c>
      <c r="N171" s="108">
        <f>IF(NOT(ISNUMBER(Dashboard!$B$11)),999,IF(AND(Dashboard!$B$11&gt;0,$A171=Dashboard!$B$8,$E171&lt;&gt;""),ABS($E171-Dashboard!$B$11),999))</f>
        <v>999</v>
      </c>
      <c r="O171" s="108" t="str">
        <f>IF(NOT(ISNUMBER(Dashboard!$B$11)),"",IF(AND(Dashboard!$B$11&gt;0,$N171=MIN($N$2:$N$300)),"Closest same-material reference",""))</f>
        <v/>
      </c>
      <c r="P171" s="108" t="str">
        <f>IF(AND($A171=Dashboard!$B$8,$C171='Calc Engine'!$B$5,$E171&lt;&gt;""),$E171,"")</f>
        <v/>
      </c>
      <c r="Q171" s="108">
        <f>IF(NOT(ISNUMBER(Dashboard!$B$11)),-999,IF(AND($P171&lt;&gt;"",Dashboard!$B$11&gt;0,$P171&lt;=Dashboard!$B$11),$P171,-999))</f>
        <v>-999</v>
      </c>
      <c r="R171" s="108">
        <f>IF(NOT(ISNUMBER(Dashboard!$B$11)),999,IF(AND($P171&lt;&gt;"",Dashboard!$B$11&gt;0,$P171&gt;=Dashboard!$B$11),$P171,999))</f>
        <v>999</v>
      </c>
      <c r="S171" s="108" t="str">
        <f t="shared" si="2"/>
        <v/>
      </c>
    </row>
    <row r="172" spans="1:19" ht="27.4" customHeight="1">
      <c r="A172" s="1" t="s">
        <v>2145</v>
      </c>
      <c r="B172" s="1" t="s">
        <v>2192</v>
      </c>
      <c r="C172" s="1">
        <v>450</v>
      </c>
      <c r="D172" s="1">
        <v>13.3</v>
      </c>
      <c r="E172" s="1">
        <v>1.1870000000000001</v>
      </c>
      <c r="F172" s="1" t="s">
        <v>3010</v>
      </c>
      <c r="G172" s="1" t="s">
        <v>3186</v>
      </c>
      <c r="H172" s="1" t="s">
        <v>2195</v>
      </c>
      <c r="I172" s="1" t="s">
        <v>2195</v>
      </c>
      <c r="J172" s="1" t="s">
        <v>2208</v>
      </c>
      <c r="K172" s="108" t="str">
        <f>IF(AND($A172=Dashboard!$B$8,$C172='Calc Engine'!$B$5),$E172,"")</f>
        <v/>
      </c>
      <c r="L172" s="108">
        <f>IF(NOT(ISNUMBER(Dashboard!$B$11)),999,IF(OR(Dashboard!$B$11&lt;=0,$E172=""),999,ABS($E172-Dashboard!$B$11)))</f>
        <v>0.16300000000000003</v>
      </c>
      <c r="M172" s="108" t="str">
        <f>IF(NOT(ISNUMBER(Dashboard!$B$11)),"",IF(AND(Dashboard!$B$11&gt;0,$L172=MIN($L$2:$L$300)),"Closest overall reference",""))</f>
        <v/>
      </c>
      <c r="N172" s="108">
        <f>IF(NOT(ISNUMBER(Dashboard!$B$11)),999,IF(AND(Dashboard!$B$11&gt;0,$A172=Dashboard!$B$8,$E172&lt;&gt;""),ABS($E172-Dashboard!$B$11),999))</f>
        <v>999</v>
      </c>
      <c r="O172" s="108" t="str">
        <f>IF(NOT(ISNUMBER(Dashboard!$B$11)),"",IF(AND(Dashboard!$B$11&gt;0,$N172=MIN($N$2:$N$300)),"Closest same-material reference",""))</f>
        <v/>
      </c>
      <c r="P172" s="108" t="str">
        <f>IF(AND($A172=Dashboard!$B$8,$C172='Calc Engine'!$B$5,$E172&lt;&gt;""),$E172,"")</f>
        <v/>
      </c>
      <c r="Q172" s="108">
        <f>IF(NOT(ISNUMBER(Dashboard!$B$11)),-999,IF(AND($P172&lt;&gt;"",Dashboard!$B$11&gt;0,$P172&lt;=Dashboard!$B$11),$P172,-999))</f>
        <v>-999</v>
      </c>
      <c r="R172" s="108">
        <f>IF(NOT(ISNUMBER(Dashboard!$B$11)),999,IF(AND($P172&lt;&gt;"",Dashboard!$B$11&gt;0,$P172&gt;=Dashboard!$B$11),$P172,999))</f>
        <v>999</v>
      </c>
      <c r="S172" s="108" t="str">
        <f t="shared" si="2"/>
        <v/>
      </c>
    </row>
    <row r="173" spans="1:19" ht="27.4" customHeight="1">
      <c r="A173" s="1" t="s">
        <v>2145</v>
      </c>
      <c r="B173" s="1" t="s">
        <v>2179</v>
      </c>
      <c r="C173" s="1">
        <v>450</v>
      </c>
      <c r="D173" s="1">
        <v>8.6</v>
      </c>
      <c r="E173" s="1">
        <v>1.099</v>
      </c>
      <c r="F173" s="1" t="s">
        <v>3010</v>
      </c>
      <c r="G173" s="1" t="s">
        <v>3187</v>
      </c>
      <c r="H173" s="1" t="s">
        <v>2195</v>
      </c>
      <c r="I173" s="1" t="s">
        <v>2195</v>
      </c>
      <c r="J173" s="1" t="s">
        <v>2208</v>
      </c>
      <c r="K173" s="108" t="str">
        <f>IF(AND($A173=Dashboard!$B$8,$C173='Calc Engine'!$B$5),$E173,"")</f>
        <v/>
      </c>
      <c r="L173" s="108">
        <f>IF(NOT(ISNUMBER(Dashboard!$B$11)),999,IF(OR(Dashboard!$B$11&lt;=0,$E173=""),999,ABS($E173-Dashboard!$B$11)))</f>
        <v>0.25100000000000011</v>
      </c>
      <c r="M173" s="108" t="str">
        <f>IF(NOT(ISNUMBER(Dashboard!$B$11)),"",IF(AND(Dashboard!$B$11&gt;0,$L173=MIN($L$2:$L$300)),"Closest overall reference",""))</f>
        <v/>
      </c>
      <c r="N173" s="108">
        <f>IF(NOT(ISNUMBER(Dashboard!$B$11)),999,IF(AND(Dashboard!$B$11&gt;0,$A173=Dashboard!$B$8,$E173&lt;&gt;""),ABS($E173-Dashboard!$B$11),999))</f>
        <v>999</v>
      </c>
      <c r="O173" s="108" t="str">
        <f>IF(NOT(ISNUMBER(Dashboard!$B$11)),"",IF(AND(Dashboard!$B$11&gt;0,$N173=MIN($N$2:$N$300)),"Closest same-material reference",""))</f>
        <v/>
      </c>
      <c r="P173" s="108" t="str">
        <f>IF(AND($A173=Dashboard!$B$8,$C173='Calc Engine'!$B$5,$E173&lt;&gt;""),$E173,"")</f>
        <v/>
      </c>
      <c r="Q173" s="108">
        <f>IF(NOT(ISNUMBER(Dashboard!$B$11)),-999,IF(AND($P173&lt;&gt;"",Dashboard!$B$11&gt;0,$P173&lt;=Dashboard!$B$11),$P173,-999))</f>
        <v>-999</v>
      </c>
      <c r="R173" s="108">
        <f>IF(NOT(ISNUMBER(Dashboard!$B$11)),999,IF(AND($P173&lt;&gt;"",Dashboard!$B$11&gt;0,$P173&gt;=Dashboard!$B$11),$P173,999))</f>
        <v>999</v>
      </c>
      <c r="S173" s="108" t="str">
        <f t="shared" si="2"/>
        <v/>
      </c>
    </row>
    <row r="174" spans="1:19" ht="41.1" customHeight="1">
      <c r="A174" s="1" t="s">
        <v>2145</v>
      </c>
      <c r="B174" s="1" t="s">
        <v>3012</v>
      </c>
      <c r="C174" s="1">
        <v>450</v>
      </c>
      <c r="D174" s="1">
        <v>11.1</v>
      </c>
      <c r="E174" s="1">
        <v>1.148333333333333</v>
      </c>
      <c r="F174" s="1" t="s">
        <v>3013</v>
      </c>
      <c r="G174" s="1" t="s">
        <v>3188</v>
      </c>
      <c r="H174" s="1" t="s">
        <v>2195</v>
      </c>
      <c r="I174" s="1" t="s">
        <v>2195</v>
      </c>
      <c r="J174" s="1" t="s">
        <v>2208</v>
      </c>
      <c r="K174" s="108" t="str">
        <f>IF(AND($A174=Dashboard!$B$8,$C174='Calc Engine'!$B$5),$E174,"")</f>
        <v/>
      </c>
      <c r="L174" s="108">
        <f>IF(NOT(ISNUMBER(Dashboard!$B$11)),999,IF(OR(Dashboard!$B$11&lt;=0,$E174=""),999,ABS($E174-Dashboard!$B$11)))</f>
        <v>0.2016666666666671</v>
      </c>
      <c r="M174" s="108" t="str">
        <f>IF(NOT(ISNUMBER(Dashboard!$B$11)),"",IF(AND(Dashboard!$B$11&gt;0,$L174=MIN($L$2:$L$300)),"Closest overall reference",""))</f>
        <v/>
      </c>
      <c r="N174" s="108">
        <f>IF(NOT(ISNUMBER(Dashboard!$B$11)),999,IF(AND(Dashboard!$B$11&gt;0,$A174=Dashboard!$B$8,$E174&lt;&gt;""),ABS($E174-Dashboard!$B$11),999))</f>
        <v>999</v>
      </c>
      <c r="O174" s="108" t="str">
        <f>IF(NOT(ISNUMBER(Dashboard!$B$11)),"",IF(AND(Dashboard!$B$11&gt;0,$N174=MIN($N$2:$N$300)),"Closest same-material reference",""))</f>
        <v/>
      </c>
      <c r="P174" s="108" t="str">
        <f>IF(AND($A174=Dashboard!$B$8,$C174='Calc Engine'!$B$5,$E174&lt;&gt;""),$E174,"")</f>
        <v/>
      </c>
      <c r="Q174" s="108">
        <f>IF(NOT(ISNUMBER(Dashboard!$B$11)),-999,IF(AND($P174&lt;&gt;"",Dashboard!$B$11&gt;0,$P174&lt;=Dashboard!$B$11),$P174,-999))</f>
        <v>-999</v>
      </c>
      <c r="R174" s="108">
        <f>IF(NOT(ISNUMBER(Dashboard!$B$11)),999,IF(AND($P174&lt;&gt;"",Dashboard!$B$11&gt;0,$P174&gt;=Dashboard!$B$11),$P174,999))</f>
        <v>999</v>
      </c>
      <c r="S174" s="108" t="str">
        <f t="shared" si="2"/>
        <v/>
      </c>
    </row>
    <row r="175" spans="1:19" ht="54.75" customHeight="1">
      <c r="A175" s="1" t="s">
        <v>2145</v>
      </c>
      <c r="B175" s="1" t="s">
        <v>3015</v>
      </c>
      <c r="C175" s="1">
        <v>450</v>
      </c>
      <c r="D175" s="1">
        <v>8.6</v>
      </c>
      <c r="E175" s="1">
        <v>1.099</v>
      </c>
      <c r="F175" s="1" t="s">
        <v>3016</v>
      </c>
      <c r="G175" s="1" t="s">
        <v>3189</v>
      </c>
      <c r="H175" s="1" t="s">
        <v>2195</v>
      </c>
      <c r="I175" s="1" t="s">
        <v>2195</v>
      </c>
      <c r="J175" s="1" t="s">
        <v>2208</v>
      </c>
      <c r="K175" s="108" t="str">
        <f>IF(AND($A175=Dashboard!$B$8,$C175='Calc Engine'!$B$5),$E175,"")</f>
        <v/>
      </c>
      <c r="L175" s="108">
        <f>IF(NOT(ISNUMBER(Dashboard!$B$11)),999,IF(OR(Dashboard!$B$11&lt;=0,$E175=""),999,ABS($E175-Dashboard!$B$11)))</f>
        <v>0.25100000000000011</v>
      </c>
      <c r="M175" s="108" t="str">
        <f>IF(NOT(ISNUMBER(Dashboard!$B$11)),"",IF(AND(Dashboard!$B$11&gt;0,$L175=MIN($L$2:$L$300)),"Closest overall reference",""))</f>
        <v/>
      </c>
      <c r="N175" s="108">
        <f>IF(NOT(ISNUMBER(Dashboard!$B$11)),999,IF(AND(Dashboard!$B$11&gt;0,$A175=Dashboard!$B$8,$E175&lt;&gt;""),ABS($E175-Dashboard!$B$11),999))</f>
        <v>999</v>
      </c>
      <c r="O175" s="108" t="str">
        <f>IF(NOT(ISNUMBER(Dashboard!$B$11)),"",IF(AND(Dashboard!$B$11&gt;0,$N175=MIN($N$2:$N$300)),"Closest same-material reference",""))</f>
        <v/>
      </c>
      <c r="P175" s="108" t="str">
        <f>IF(AND($A175=Dashboard!$B$8,$C175='Calc Engine'!$B$5,$E175&lt;&gt;""),$E175,"")</f>
        <v/>
      </c>
      <c r="Q175" s="108">
        <f>IF(NOT(ISNUMBER(Dashboard!$B$11)),-999,IF(AND($P175&lt;&gt;"",Dashboard!$B$11&gt;0,$P175&lt;=Dashboard!$B$11),$P175,-999))</f>
        <v>-999</v>
      </c>
      <c r="R175" s="108">
        <f>IF(NOT(ISNUMBER(Dashboard!$B$11)),999,IF(AND($P175&lt;&gt;"",Dashboard!$B$11&gt;0,$P175&gt;=Dashboard!$B$11),$P175,999))</f>
        <v>999</v>
      </c>
      <c r="S175" s="108" t="str">
        <f t="shared" si="2"/>
        <v/>
      </c>
    </row>
    <row r="176" spans="1:19" ht="27.4" customHeight="1">
      <c r="A176" s="1" t="s">
        <v>2145</v>
      </c>
      <c r="B176" s="1" t="s">
        <v>2186</v>
      </c>
      <c r="C176" s="1">
        <v>500</v>
      </c>
      <c r="D176" s="1">
        <v>12</v>
      </c>
      <c r="E176" s="1">
        <v>1.1479999999999999</v>
      </c>
      <c r="F176" s="1" t="s">
        <v>3010</v>
      </c>
      <c r="G176" s="1" t="s">
        <v>3190</v>
      </c>
      <c r="H176" s="1" t="s">
        <v>2195</v>
      </c>
      <c r="I176" s="1" t="s">
        <v>2195</v>
      </c>
      <c r="J176" s="1" t="s">
        <v>2208</v>
      </c>
      <c r="K176" s="108" t="str">
        <f>IF(AND($A176=Dashboard!$B$8,$C176='Calc Engine'!$B$5),$E176,"")</f>
        <v/>
      </c>
      <c r="L176" s="108">
        <f>IF(NOT(ISNUMBER(Dashboard!$B$11)),999,IF(OR(Dashboard!$B$11&lt;=0,$E176=""),999,ABS($E176-Dashboard!$B$11)))</f>
        <v>0.20200000000000018</v>
      </c>
      <c r="M176" s="108" t="str">
        <f>IF(NOT(ISNUMBER(Dashboard!$B$11)),"",IF(AND(Dashboard!$B$11&gt;0,$L176=MIN($L$2:$L$300)),"Closest overall reference",""))</f>
        <v/>
      </c>
      <c r="N176" s="108">
        <f>IF(NOT(ISNUMBER(Dashboard!$B$11)),999,IF(AND(Dashboard!$B$11&gt;0,$A176=Dashboard!$B$8,$E176&lt;&gt;""),ABS($E176-Dashboard!$B$11),999))</f>
        <v>999</v>
      </c>
      <c r="O176" s="108" t="str">
        <f>IF(NOT(ISNUMBER(Dashboard!$B$11)),"",IF(AND(Dashboard!$B$11&gt;0,$N176=MIN($N$2:$N$300)),"Closest same-material reference",""))</f>
        <v/>
      </c>
      <c r="P176" s="108" t="str">
        <f>IF(AND($A176=Dashboard!$B$8,$C176='Calc Engine'!$B$5,$E176&lt;&gt;""),$E176,"")</f>
        <v/>
      </c>
      <c r="Q176" s="108">
        <f>IF(NOT(ISNUMBER(Dashboard!$B$11)),-999,IF(AND($P176&lt;&gt;"",Dashboard!$B$11&gt;0,$P176&lt;=Dashboard!$B$11),$P176,-999))</f>
        <v>-999</v>
      </c>
      <c r="R176" s="108">
        <f>IF(NOT(ISNUMBER(Dashboard!$B$11)),999,IF(AND($P176&lt;&gt;"",Dashboard!$B$11&gt;0,$P176&gt;=Dashboard!$B$11),$P176,999))</f>
        <v>999</v>
      </c>
      <c r="S176" s="108" t="str">
        <f t="shared" si="2"/>
        <v/>
      </c>
    </row>
    <row r="177" spans="1:19" ht="27.4" customHeight="1">
      <c r="A177" s="1" t="s">
        <v>2145</v>
      </c>
      <c r="B177" s="1" t="s">
        <v>2192</v>
      </c>
      <c r="C177" s="1">
        <v>500</v>
      </c>
      <c r="D177" s="1">
        <v>14</v>
      </c>
      <c r="E177" s="1">
        <v>1.177</v>
      </c>
      <c r="F177" s="1" t="s">
        <v>3010</v>
      </c>
      <c r="G177" s="1" t="s">
        <v>3191</v>
      </c>
      <c r="H177" s="1" t="s">
        <v>2195</v>
      </c>
      <c r="I177" s="1" t="s">
        <v>2195</v>
      </c>
      <c r="J177" s="1" t="s">
        <v>2208</v>
      </c>
      <c r="K177" s="108" t="str">
        <f>IF(AND($A177=Dashboard!$B$8,$C177='Calc Engine'!$B$5),$E177,"")</f>
        <v/>
      </c>
      <c r="L177" s="108">
        <f>IF(NOT(ISNUMBER(Dashboard!$B$11)),999,IF(OR(Dashboard!$B$11&lt;=0,$E177=""),999,ABS($E177-Dashboard!$B$11)))</f>
        <v>0.17300000000000004</v>
      </c>
      <c r="M177" s="108" t="str">
        <f>IF(NOT(ISNUMBER(Dashboard!$B$11)),"",IF(AND(Dashboard!$B$11&gt;0,$L177=MIN($L$2:$L$300)),"Closest overall reference",""))</f>
        <v/>
      </c>
      <c r="N177" s="108">
        <f>IF(NOT(ISNUMBER(Dashboard!$B$11)),999,IF(AND(Dashboard!$B$11&gt;0,$A177=Dashboard!$B$8,$E177&lt;&gt;""),ABS($E177-Dashboard!$B$11),999))</f>
        <v>999</v>
      </c>
      <c r="O177" s="108" t="str">
        <f>IF(NOT(ISNUMBER(Dashboard!$B$11)),"",IF(AND(Dashboard!$B$11&gt;0,$N177=MIN($N$2:$N$300)),"Closest same-material reference",""))</f>
        <v/>
      </c>
      <c r="P177" s="108" t="str">
        <f>IF(AND($A177=Dashboard!$B$8,$C177='Calc Engine'!$B$5,$E177&lt;&gt;""),$E177,"")</f>
        <v/>
      </c>
      <c r="Q177" s="108">
        <f>IF(NOT(ISNUMBER(Dashboard!$B$11)),-999,IF(AND($P177&lt;&gt;"",Dashboard!$B$11&gt;0,$P177&lt;=Dashboard!$B$11),$P177,-999))</f>
        <v>-999</v>
      </c>
      <c r="R177" s="108">
        <f>IF(NOT(ISNUMBER(Dashboard!$B$11)),999,IF(AND($P177&lt;&gt;"",Dashboard!$B$11&gt;0,$P177&gt;=Dashboard!$B$11),$P177,999))</f>
        <v>999</v>
      </c>
      <c r="S177" s="108" t="str">
        <f t="shared" si="2"/>
        <v/>
      </c>
    </row>
    <row r="178" spans="1:19" ht="27.4" customHeight="1">
      <c r="A178" s="1" t="s">
        <v>2145</v>
      </c>
      <c r="B178" s="1" t="s">
        <v>2179</v>
      </c>
      <c r="C178" s="1">
        <v>500</v>
      </c>
      <c r="D178" s="1">
        <v>9</v>
      </c>
      <c r="E178" s="1">
        <v>1.087</v>
      </c>
      <c r="F178" s="1" t="s">
        <v>3010</v>
      </c>
      <c r="G178" s="1" t="s">
        <v>3192</v>
      </c>
      <c r="H178" s="1" t="s">
        <v>2195</v>
      </c>
      <c r="I178" s="1" t="s">
        <v>2195</v>
      </c>
      <c r="J178" s="1" t="s">
        <v>2208</v>
      </c>
      <c r="K178" s="108" t="str">
        <f>IF(AND($A178=Dashboard!$B$8,$C178='Calc Engine'!$B$5),$E178,"")</f>
        <v/>
      </c>
      <c r="L178" s="108">
        <f>IF(NOT(ISNUMBER(Dashboard!$B$11)),999,IF(OR(Dashboard!$B$11&lt;=0,$E178=""),999,ABS($E178-Dashboard!$B$11)))</f>
        <v>0.26300000000000012</v>
      </c>
      <c r="M178" s="108" t="str">
        <f>IF(NOT(ISNUMBER(Dashboard!$B$11)),"",IF(AND(Dashboard!$B$11&gt;0,$L178=MIN($L$2:$L$300)),"Closest overall reference",""))</f>
        <v/>
      </c>
      <c r="N178" s="108">
        <f>IF(NOT(ISNUMBER(Dashboard!$B$11)),999,IF(AND(Dashboard!$B$11&gt;0,$A178=Dashboard!$B$8,$E178&lt;&gt;""),ABS($E178-Dashboard!$B$11),999))</f>
        <v>999</v>
      </c>
      <c r="O178" s="108" t="str">
        <f>IF(NOT(ISNUMBER(Dashboard!$B$11)),"",IF(AND(Dashboard!$B$11&gt;0,$N178=MIN($N$2:$N$300)),"Closest same-material reference",""))</f>
        <v/>
      </c>
      <c r="P178" s="108" t="str">
        <f>IF(AND($A178=Dashboard!$B$8,$C178='Calc Engine'!$B$5,$E178&lt;&gt;""),$E178,"")</f>
        <v/>
      </c>
      <c r="Q178" s="108">
        <f>IF(NOT(ISNUMBER(Dashboard!$B$11)),-999,IF(AND($P178&lt;&gt;"",Dashboard!$B$11&gt;0,$P178&lt;=Dashboard!$B$11),$P178,-999))</f>
        <v>-999</v>
      </c>
      <c r="R178" s="108">
        <f>IF(NOT(ISNUMBER(Dashboard!$B$11)),999,IF(AND($P178&lt;&gt;"",Dashboard!$B$11&gt;0,$P178&gt;=Dashboard!$B$11),$P178,999))</f>
        <v>999</v>
      </c>
      <c r="S178" s="108" t="str">
        <f t="shared" si="2"/>
        <v/>
      </c>
    </row>
    <row r="179" spans="1:19" ht="41.1" customHeight="1">
      <c r="A179" s="1" t="s">
        <v>2145</v>
      </c>
      <c r="B179" s="1" t="s">
        <v>3012</v>
      </c>
      <c r="C179" s="1">
        <v>500</v>
      </c>
      <c r="D179" s="1">
        <v>11.66666666666667</v>
      </c>
      <c r="E179" s="1">
        <v>1.1373333333333331</v>
      </c>
      <c r="F179" s="1" t="s">
        <v>3013</v>
      </c>
      <c r="G179" s="1" t="s">
        <v>3193</v>
      </c>
      <c r="H179" s="1" t="s">
        <v>2195</v>
      </c>
      <c r="I179" s="1" t="s">
        <v>2195</v>
      </c>
      <c r="J179" s="1" t="s">
        <v>2208</v>
      </c>
      <c r="K179" s="108" t="str">
        <f>IF(AND($A179=Dashboard!$B$8,$C179='Calc Engine'!$B$5),$E179,"")</f>
        <v/>
      </c>
      <c r="L179" s="108">
        <f>IF(NOT(ISNUMBER(Dashboard!$B$11)),999,IF(OR(Dashboard!$B$11&lt;=0,$E179=""),999,ABS($E179-Dashboard!$B$11)))</f>
        <v>0.212666666666667</v>
      </c>
      <c r="M179" s="108" t="str">
        <f>IF(NOT(ISNUMBER(Dashboard!$B$11)),"",IF(AND(Dashboard!$B$11&gt;0,$L179=MIN($L$2:$L$300)),"Closest overall reference",""))</f>
        <v/>
      </c>
      <c r="N179" s="108">
        <f>IF(NOT(ISNUMBER(Dashboard!$B$11)),999,IF(AND(Dashboard!$B$11&gt;0,$A179=Dashboard!$B$8,$E179&lt;&gt;""),ABS($E179-Dashboard!$B$11),999))</f>
        <v>999</v>
      </c>
      <c r="O179" s="108" t="str">
        <f>IF(NOT(ISNUMBER(Dashboard!$B$11)),"",IF(AND(Dashboard!$B$11&gt;0,$N179=MIN($N$2:$N$300)),"Closest same-material reference",""))</f>
        <v/>
      </c>
      <c r="P179" s="108" t="str">
        <f>IF(AND($A179=Dashboard!$B$8,$C179='Calc Engine'!$B$5,$E179&lt;&gt;""),$E179,"")</f>
        <v/>
      </c>
      <c r="Q179" s="108">
        <f>IF(NOT(ISNUMBER(Dashboard!$B$11)),-999,IF(AND($P179&lt;&gt;"",Dashboard!$B$11&gt;0,$P179&lt;=Dashboard!$B$11),$P179,-999))</f>
        <v>-999</v>
      </c>
      <c r="R179" s="108">
        <f>IF(NOT(ISNUMBER(Dashboard!$B$11)),999,IF(AND($P179&lt;&gt;"",Dashboard!$B$11&gt;0,$P179&gt;=Dashboard!$B$11),$P179,999))</f>
        <v>999</v>
      </c>
      <c r="S179" s="108" t="str">
        <f t="shared" si="2"/>
        <v/>
      </c>
    </row>
    <row r="180" spans="1:19" ht="54.75" customHeight="1">
      <c r="A180" s="1" t="s">
        <v>2145</v>
      </c>
      <c r="B180" s="1" t="s">
        <v>3015</v>
      </c>
      <c r="C180" s="1">
        <v>500</v>
      </c>
      <c r="D180" s="1">
        <v>9</v>
      </c>
      <c r="E180" s="1">
        <v>1.087</v>
      </c>
      <c r="F180" s="1" t="s">
        <v>3016</v>
      </c>
      <c r="G180" s="1" t="s">
        <v>3194</v>
      </c>
      <c r="H180" s="1" t="s">
        <v>2195</v>
      </c>
      <c r="I180" s="1" t="s">
        <v>2195</v>
      </c>
      <c r="J180" s="1" t="s">
        <v>2208</v>
      </c>
      <c r="K180" s="108" t="str">
        <f>IF(AND($A180=Dashboard!$B$8,$C180='Calc Engine'!$B$5),$E180,"")</f>
        <v/>
      </c>
      <c r="L180" s="108">
        <f>IF(NOT(ISNUMBER(Dashboard!$B$11)),999,IF(OR(Dashboard!$B$11&lt;=0,$E180=""),999,ABS($E180-Dashboard!$B$11)))</f>
        <v>0.26300000000000012</v>
      </c>
      <c r="M180" s="108" t="str">
        <f>IF(NOT(ISNUMBER(Dashboard!$B$11)),"",IF(AND(Dashboard!$B$11&gt;0,$L180=MIN($L$2:$L$300)),"Closest overall reference",""))</f>
        <v/>
      </c>
      <c r="N180" s="108">
        <f>IF(NOT(ISNUMBER(Dashboard!$B$11)),999,IF(AND(Dashboard!$B$11&gt;0,$A180=Dashboard!$B$8,$E180&lt;&gt;""),ABS($E180-Dashboard!$B$11),999))</f>
        <v>999</v>
      </c>
      <c r="O180" s="108" t="str">
        <f>IF(NOT(ISNUMBER(Dashboard!$B$11)),"",IF(AND(Dashboard!$B$11&gt;0,$N180=MIN($N$2:$N$300)),"Closest same-material reference",""))</f>
        <v/>
      </c>
      <c r="P180" s="108" t="str">
        <f>IF(AND($A180=Dashboard!$B$8,$C180='Calc Engine'!$B$5,$E180&lt;&gt;""),$E180,"")</f>
        <v/>
      </c>
      <c r="Q180" s="108">
        <f>IF(NOT(ISNUMBER(Dashboard!$B$11)),-999,IF(AND($P180&lt;&gt;"",Dashboard!$B$11&gt;0,$P180&lt;=Dashboard!$B$11),$P180,-999))</f>
        <v>-999</v>
      </c>
      <c r="R180" s="108">
        <f>IF(NOT(ISNUMBER(Dashboard!$B$11)),999,IF(AND($P180&lt;&gt;"",Dashboard!$B$11&gt;0,$P180&gt;=Dashboard!$B$11),$P180,999))</f>
        <v>999</v>
      </c>
      <c r="S180" s="108" t="str">
        <f t="shared" si="2"/>
        <v/>
      </c>
    </row>
    <row r="181" spans="1:19" ht="27.4" customHeight="1">
      <c r="A181" s="1" t="s">
        <v>2145</v>
      </c>
      <c r="B181" s="1" t="s">
        <v>2186</v>
      </c>
      <c r="C181" s="1">
        <v>600</v>
      </c>
      <c r="D181" s="1">
        <v>13.2</v>
      </c>
      <c r="E181" s="1">
        <v>1.1299999999999999</v>
      </c>
      <c r="F181" s="1" t="s">
        <v>3010</v>
      </c>
      <c r="G181" s="1" t="s">
        <v>3195</v>
      </c>
      <c r="H181" s="1" t="s">
        <v>2195</v>
      </c>
      <c r="I181" s="1" t="s">
        <v>2195</v>
      </c>
      <c r="J181" s="1" t="s">
        <v>2208</v>
      </c>
      <c r="K181" s="108" t="str">
        <f>IF(AND($A181=Dashboard!$B$8,$C181='Calc Engine'!$B$5),$E181,"")</f>
        <v/>
      </c>
      <c r="L181" s="108">
        <f>IF(NOT(ISNUMBER(Dashboard!$B$11)),999,IF(OR(Dashboard!$B$11&lt;=0,$E181=""),999,ABS($E181-Dashboard!$B$11)))</f>
        <v>0.2200000000000002</v>
      </c>
      <c r="M181" s="108" t="str">
        <f>IF(NOT(ISNUMBER(Dashboard!$B$11)),"",IF(AND(Dashboard!$B$11&gt;0,$L181=MIN($L$2:$L$300)),"Closest overall reference",""))</f>
        <v/>
      </c>
      <c r="N181" s="108">
        <f>IF(NOT(ISNUMBER(Dashboard!$B$11)),999,IF(AND(Dashboard!$B$11&gt;0,$A181=Dashboard!$B$8,$E181&lt;&gt;""),ABS($E181-Dashboard!$B$11),999))</f>
        <v>999</v>
      </c>
      <c r="O181" s="108" t="str">
        <f>IF(NOT(ISNUMBER(Dashboard!$B$11)),"",IF(AND(Dashboard!$B$11&gt;0,$N181=MIN($N$2:$N$300)),"Closest same-material reference",""))</f>
        <v/>
      </c>
      <c r="P181" s="108" t="str">
        <f>IF(AND($A181=Dashboard!$B$8,$C181='Calc Engine'!$B$5,$E181&lt;&gt;""),$E181,"")</f>
        <v/>
      </c>
      <c r="Q181" s="108">
        <f>IF(NOT(ISNUMBER(Dashboard!$B$11)),-999,IF(AND($P181&lt;&gt;"",Dashboard!$B$11&gt;0,$P181&lt;=Dashboard!$B$11),$P181,-999))</f>
        <v>-999</v>
      </c>
      <c r="R181" s="108">
        <f>IF(NOT(ISNUMBER(Dashboard!$B$11)),999,IF(AND($P181&lt;&gt;"",Dashboard!$B$11&gt;0,$P181&gt;=Dashboard!$B$11),$P181,999))</f>
        <v>999</v>
      </c>
      <c r="S181" s="108" t="str">
        <f t="shared" si="2"/>
        <v/>
      </c>
    </row>
    <row r="182" spans="1:19" ht="27.4" customHeight="1">
      <c r="A182" s="1" t="s">
        <v>2145</v>
      </c>
      <c r="B182" s="1" t="s">
        <v>2192</v>
      </c>
      <c r="C182" s="1">
        <v>600</v>
      </c>
      <c r="D182" s="1">
        <v>15.4</v>
      </c>
      <c r="E182" s="1">
        <v>1.161</v>
      </c>
      <c r="F182" s="1" t="s">
        <v>3010</v>
      </c>
      <c r="G182" s="1" t="s">
        <v>3196</v>
      </c>
      <c r="H182" s="1" t="s">
        <v>2195</v>
      </c>
      <c r="I182" s="1" t="s">
        <v>2195</v>
      </c>
      <c r="J182" s="1" t="s">
        <v>2208</v>
      </c>
      <c r="K182" s="108" t="str">
        <f>IF(AND($A182=Dashboard!$B$8,$C182='Calc Engine'!$B$5),$E182,"")</f>
        <v/>
      </c>
      <c r="L182" s="108">
        <f>IF(NOT(ISNUMBER(Dashboard!$B$11)),999,IF(OR(Dashboard!$B$11&lt;=0,$E182=""),999,ABS($E182-Dashboard!$B$11)))</f>
        <v>0.18900000000000006</v>
      </c>
      <c r="M182" s="108" t="str">
        <f>IF(NOT(ISNUMBER(Dashboard!$B$11)),"",IF(AND(Dashboard!$B$11&gt;0,$L182=MIN($L$2:$L$300)),"Closest overall reference",""))</f>
        <v/>
      </c>
      <c r="N182" s="108">
        <f>IF(NOT(ISNUMBER(Dashboard!$B$11)),999,IF(AND(Dashboard!$B$11&gt;0,$A182=Dashboard!$B$8,$E182&lt;&gt;""),ABS($E182-Dashboard!$B$11),999))</f>
        <v>999</v>
      </c>
      <c r="O182" s="108" t="str">
        <f>IF(NOT(ISNUMBER(Dashboard!$B$11)),"",IF(AND(Dashboard!$B$11&gt;0,$N182=MIN($N$2:$N$300)),"Closest same-material reference",""))</f>
        <v/>
      </c>
      <c r="P182" s="108" t="str">
        <f>IF(AND($A182=Dashboard!$B$8,$C182='Calc Engine'!$B$5,$E182&lt;&gt;""),$E182,"")</f>
        <v/>
      </c>
      <c r="Q182" s="108">
        <f>IF(NOT(ISNUMBER(Dashboard!$B$11)),-999,IF(AND($P182&lt;&gt;"",Dashboard!$B$11&gt;0,$P182&lt;=Dashboard!$B$11),$P182,-999))</f>
        <v>-999</v>
      </c>
      <c r="R182" s="108">
        <f>IF(NOT(ISNUMBER(Dashboard!$B$11)),999,IF(AND($P182&lt;&gt;"",Dashboard!$B$11&gt;0,$P182&gt;=Dashboard!$B$11),$P182,999))</f>
        <v>999</v>
      </c>
      <c r="S182" s="108" t="str">
        <f t="shared" si="2"/>
        <v/>
      </c>
    </row>
    <row r="183" spans="1:19" ht="27.4" customHeight="1">
      <c r="A183" s="1" t="s">
        <v>2145</v>
      </c>
      <c r="B183" s="1" t="s">
        <v>2179</v>
      </c>
      <c r="C183" s="1">
        <v>600</v>
      </c>
      <c r="D183" s="1">
        <v>9.9</v>
      </c>
      <c r="E183" s="1">
        <v>1.0669999999999999</v>
      </c>
      <c r="F183" s="1" t="s">
        <v>3010</v>
      </c>
      <c r="G183" s="1" t="s">
        <v>3197</v>
      </c>
      <c r="H183" s="1" t="s">
        <v>2195</v>
      </c>
      <c r="I183" s="1" t="s">
        <v>2195</v>
      </c>
      <c r="J183" s="1" t="s">
        <v>2208</v>
      </c>
      <c r="K183" s="108" t="str">
        <f>IF(AND($A183=Dashboard!$B$8,$C183='Calc Engine'!$B$5),$E183,"")</f>
        <v/>
      </c>
      <c r="L183" s="108">
        <f>IF(NOT(ISNUMBER(Dashboard!$B$11)),999,IF(OR(Dashboard!$B$11&lt;=0,$E183=""),999,ABS($E183-Dashboard!$B$11)))</f>
        <v>0.28300000000000014</v>
      </c>
      <c r="M183" s="108" t="str">
        <f>IF(NOT(ISNUMBER(Dashboard!$B$11)),"",IF(AND(Dashboard!$B$11&gt;0,$L183=MIN($L$2:$L$300)),"Closest overall reference",""))</f>
        <v/>
      </c>
      <c r="N183" s="108">
        <f>IF(NOT(ISNUMBER(Dashboard!$B$11)),999,IF(AND(Dashboard!$B$11&gt;0,$A183=Dashboard!$B$8,$E183&lt;&gt;""),ABS($E183-Dashboard!$B$11),999))</f>
        <v>999</v>
      </c>
      <c r="O183" s="108" t="str">
        <f>IF(NOT(ISNUMBER(Dashboard!$B$11)),"",IF(AND(Dashboard!$B$11&gt;0,$N183=MIN($N$2:$N$300)),"Closest same-material reference",""))</f>
        <v/>
      </c>
      <c r="P183" s="108" t="str">
        <f>IF(AND($A183=Dashboard!$B$8,$C183='Calc Engine'!$B$5,$E183&lt;&gt;""),$E183,"")</f>
        <v/>
      </c>
      <c r="Q183" s="108">
        <f>IF(NOT(ISNUMBER(Dashboard!$B$11)),-999,IF(AND($P183&lt;&gt;"",Dashboard!$B$11&gt;0,$P183&lt;=Dashboard!$B$11),$P183,-999))</f>
        <v>-999</v>
      </c>
      <c r="R183" s="108">
        <f>IF(NOT(ISNUMBER(Dashboard!$B$11)),999,IF(AND($P183&lt;&gt;"",Dashboard!$B$11&gt;0,$P183&gt;=Dashboard!$B$11),$P183,999))</f>
        <v>999</v>
      </c>
      <c r="S183" s="108" t="str">
        <f t="shared" si="2"/>
        <v/>
      </c>
    </row>
    <row r="184" spans="1:19" ht="41.1" customHeight="1">
      <c r="A184" s="1" t="s">
        <v>2145</v>
      </c>
      <c r="B184" s="1" t="s">
        <v>3012</v>
      </c>
      <c r="C184" s="1">
        <v>600</v>
      </c>
      <c r="D184" s="1">
        <v>12.83333333333333</v>
      </c>
      <c r="E184" s="1">
        <v>1.1193333333333331</v>
      </c>
      <c r="F184" s="1" t="s">
        <v>3013</v>
      </c>
      <c r="G184" s="1" t="s">
        <v>3198</v>
      </c>
      <c r="H184" s="1" t="s">
        <v>2195</v>
      </c>
      <c r="I184" s="1" t="s">
        <v>2195</v>
      </c>
      <c r="J184" s="1" t="s">
        <v>2208</v>
      </c>
      <c r="K184" s="108" t="str">
        <f>IF(AND($A184=Dashboard!$B$8,$C184='Calc Engine'!$B$5),$E184,"")</f>
        <v/>
      </c>
      <c r="L184" s="108">
        <f>IF(NOT(ISNUMBER(Dashboard!$B$11)),999,IF(OR(Dashboard!$B$11&lt;=0,$E184=""),999,ABS($E184-Dashboard!$B$11)))</f>
        <v>0.23066666666666702</v>
      </c>
      <c r="M184" s="108" t="str">
        <f>IF(NOT(ISNUMBER(Dashboard!$B$11)),"",IF(AND(Dashboard!$B$11&gt;0,$L184=MIN($L$2:$L$300)),"Closest overall reference",""))</f>
        <v/>
      </c>
      <c r="N184" s="108">
        <f>IF(NOT(ISNUMBER(Dashboard!$B$11)),999,IF(AND(Dashboard!$B$11&gt;0,$A184=Dashboard!$B$8,$E184&lt;&gt;""),ABS($E184-Dashboard!$B$11),999))</f>
        <v>999</v>
      </c>
      <c r="O184" s="108" t="str">
        <f>IF(NOT(ISNUMBER(Dashboard!$B$11)),"",IF(AND(Dashboard!$B$11&gt;0,$N184=MIN($N$2:$N$300)),"Closest same-material reference",""))</f>
        <v/>
      </c>
      <c r="P184" s="108" t="str">
        <f>IF(AND($A184=Dashboard!$B$8,$C184='Calc Engine'!$B$5,$E184&lt;&gt;""),$E184,"")</f>
        <v/>
      </c>
      <c r="Q184" s="108">
        <f>IF(NOT(ISNUMBER(Dashboard!$B$11)),-999,IF(AND($P184&lt;&gt;"",Dashboard!$B$11&gt;0,$P184&lt;=Dashboard!$B$11),$P184,-999))</f>
        <v>-999</v>
      </c>
      <c r="R184" s="108">
        <f>IF(NOT(ISNUMBER(Dashboard!$B$11)),999,IF(AND($P184&lt;&gt;"",Dashboard!$B$11&gt;0,$P184&gt;=Dashboard!$B$11),$P184,999))</f>
        <v>999</v>
      </c>
      <c r="S184" s="108" t="str">
        <f t="shared" si="2"/>
        <v/>
      </c>
    </row>
    <row r="185" spans="1:19" ht="54.75" customHeight="1">
      <c r="A185" s="1" t="s">
        <v>2145</v>
      </c>
      <c r="B185" s="1" t="s">
        <v>3015</v>
      </c>
      <c r="C185" s="1">
        <v>600</v>
      </c>
      <c r="D185" s="1">
        <v>9.9</v>
      </c>
      <c r="E185" s="1">
        <v>1.0669999999999999</v>
      </c>
      <c r="F185" s="1" t="s">
        <v>3016</v>
      </c>
      <c r="G185" s="1" t="s">
        <v>3199</v>
      </c>
      <c r="H185" s="1" t="s">
        <v>2195</v>
      </c>
      <c r="I185" s="1" t="s">
        <v>2195</v>
      </c>
      <c r="J185" s="1" t="s">
        <v>2208</v>
      </c>
      <c r="K185" s="108" t="str">
        <f>IF(AND($A185=Dashboard!$B$8,$C185='Calc Engine'!$B$5),$E185,"")</f>
        <v/>
      </c>
      <c r="L185" s="108">
        <f>IF(NOT(ISNUMBER(Dashboard!$B$11)),999,IF(OR(Dashboard!$B$11&lt;=0,$E185=""),999,ABS($E185-Dashboard!$B$11)))</f>
        <v>0.28300000000000014</v>
      </c>
      <c r="M185" s="108" t="str">
        <f>IF(NOT(ISNUMBER(Dashboard!$B$11)),"",IF(AND(Dashboard!$B$11&gt;0,$L185=MIN($L$2:$L$300)),"Closest overall reference",""))</f>
        <v/>
      </c>
      <c r="N185" s="108">
        <f>IF(NOT(ISNUMBER(Dashboard!$B$11)),999,IF(AND(Dashboard!$B$11&gt;0,$A185=Dashboard!$B$8,$E185&lt;&gt;""),ABS($E185-Dashboard!$B$11),999))</f>
        <v>999</v>
      </c>
      <c r="O185" s="108" t="str">
        <f>IF(NOT(ISNUMBER(Dashboard!$B$11)),"",IF(AND(Dashboard!$B$11&gt;0,$N185=MIN($N$2:$N$300)),"Closest same-material reference",""))</f>
        <v/>
      </c>
      <c r="P185" s="108" t="str">
        <f>IF(AND($A185=Dashboard!$B$8,$C185='Calc Engine'!$B$5,$E185&lt;&gt;""),$E185,"")</f>
        <v/>
      </c>
      <c r="Q185" s="108">
        <f>IF(NOT(ISNUMBER(Dashboard!$B$11)),-999,IF(AND($P185&lt;&gt;"",Dashboard!$B$11&gt;0,$P185&lt;=Dashboard!$B$11),$P185,-999))</f>
        <v>-999</v>
      </c>
      <c r="R185" s="108">
        <f>IF(NOT(ISNUMBER(Dashboard!$B$11)),999,IF(AND($P185&lt;&gt;"",Dashboard!$B$11&gt;0,$P185&gt;=Dashboard!$B$11),$P185,999))</f>
        <v>999</v>
      </c>
      <c r="S185" s="108" t="str">
        <f t="shared" si="2"/>
        <v/>
      </c>
    </row>
    <row r="186" spans="1:19" ht="27.4" customHeight="1">
      <c r="A186" s="1" t="s">
        <v>2145</v>
      </c>
      <c r="B186" s="1" t="s">
        <v>2186</v>
      </c>
      <c r="C186" s="1">
        <v>700</v>
      </c>
      <c r="D186" s="1">
        <v>14.4</v>
      </c>
      <c r="E186" s="1">
        <v>1.1160000000000001</v>
      </c>
      <c r="F186" s="1" t="s">
        <v>3010</v>
      </c>
      <c r="G186" s="1" t="s">
        <v>3200</v>
      </c>
      <c r="H186" s="1" t="s">
        <v>2195</v>
      </c>
      <c r="I186" s="1" t="s">
        <v>2195</v>
      </c>
      <c r="J186" s="1" t="s">
        <v>2208</v>
      </c>
      <c r="K186" s="108" t="str">
        <f>IF(AND($A186=Dashboard!$B$8,$C186='Calc Engine'!$B$5),$E186,"")</f>
        <v/>
      </c>
      <c r="L186" s="108">
        <f>IF(NOT(ISNUMBER(Dashboard!$B$11)),999,IF(OR(Dashboard!$B$11&lt;=0,$E186=""),999,ABS($E186-Dashboard!$B$11)))</f>
        <v>0.23399999999999999</v>
      </c>
      <c r="M186" s="108" t="str">
        <f>IF(NOT(ISNUMBER(Dashboard!$B$11)),"",IF(AND(Dashboard!$B$11&gt;0,$L186=MIN($L$2:$L$300)),"Closest overall reference",""))</f>
        <v/>
      </c>
      <c r="N186" s="108">
        <f>IF(NOT(ISNUMBER(Dashboard!$B$11)),999,IF(AND(Dashboard!$B$11&gt;0,$A186=Dashboard!$B$8,$E186&lt;&gt;""),ABS($E186-Dashboard!$B$11),999))</f>
        <v>999</v>
      </c>
      <c r="O186" s="108" t="str">
        <f>IF(NOT(ISNUMBER(Dashboard!$B$11)),"",IF(AND(Dashboard!$B$11&gt;0,$N186=MIN($N$2:$N$300)),"Closest same-material reference",""))</f>
        <v/>
      </c>
      <c r="P186" s="108" t="str">
        <f>IF(AND($A186=Dashboard!$B$8,$C186='Calc Engine'!$B$5,$E186&lt;&gt;""),$E186,"")</f>
        <v/>
      </c>
      <c r="Q186" s="108">
        <f>IF(NOT(ISNUMBER(Dashboard!$B$11)),-999,IF(AND($P186&lt;&gt;"",Dashboard!$B$11&gt;0,$P186&lt;=Dashboard!$B$11),$P186,-999))</f>
        <v>-999</v>
      </c>
      <c r="R186" s="108">
        <f>IF(NOT(ISNUMBER(Dashboard!$B$11)),999,IF(AND($P186&lt;&gt;"",Dashboard!$B$11&gt;0,$P186&gt;=Dashboard!$B$11),$P186,999))</f>
        <v>999</v>
      </c>
      <c r="S186" s="108" t="str">
        <f t="shared" si="2"/>
        <v/>
      </c>
    </row>
    <row r="187" spans="1:19" ht="27.4" customHeight="1">
      <c r="A187" s="1" t="s">
        <v>2145</v>
      </c>
      <c r="B187" s="1" t="s">
        <v>2192</v>
      </c>
      <c r="C187" s="1">
        <v>700</v>
      </c>
      <c r="D187" s="1">
        <v>16.8</v>
      </c>
      <c r="E187" s="1">
        <v>1.1479999999999999</v>
      </c>
      <c r="F187" s="1" t="s">
        <v>3010</v>
      </c>
      <c r="G187" s="1" t="s">
        <v>3201</v>
      </c>
      <c r="H187" s="1" t="s">
        <v>2195</v>
      </c>
      <c r="I187" s="1" t="s">
        <v>2195</v>
      </c>
      <c r="J187" s="1" t="s">
        <v>2208</v>
      </c>
      <c r="K187" s="108" t="str">
        <f>IF(AND($A187=Dashboard!$B$8,$C187='Calc Engine'!$B$5),$E187,"")</f>
        <v/>
      </c>
      <c r="L187" s="108">
        <f>IF(NOT(ISNUMBER(Dashboard!$B$11)),999,IF(OR(Dashboard!$B$11&lt;=0,$E187=""),999,ABS($E187-Dashboard!$B$11)))</f>
        <v>0.20200000000000018</v>
      </c>
      <c r="M187" s="108" t="str">
        <f>IF(NOT(ISNUMBER(Dashboard!$B$11)),"",IF(AND(Dashboard!$B$11&gt;0,$L187=MIN($L$2:$L$300)),"Closest overall reference",""))</f>
        <v/>
      </c>
      <c r="N187" s="108">
        <f>IF(NOT(ISNUMBER(Dashboard!$B$11)),999,IF(AND(Dashboard!$B$11&gt;0,$A187=Dashboard!$B$8,$E187&lt;&gt;""),ABS($E187-Dashboard!$B$11),999))</f>
        <v>999</v>
      </c>
      <c r="O187" s="108" t="str">
        <f>IF(NOT(ISNUMBER(Dashboard!$B$11)),"",IF(AND(Dashboard!$B$11&gt;0,$N187=MIN($N$2:$N$300)),"Closest same-material reference",""))</f>
        <v/>
      </c>
      <c r="P187" s="108" t="str">
        <f>IF(AND($A187=Dashboard!$B$8,$C187='Calc Engine'!$B$5,$E187&lt;&gt;""),$E187,"")</f>
        <v/>
      </c>
      <c r="Q187" s="108">
        <f>IF(NOT(ISNUMBER(Dashboard!$B$11)),-999,IF(AND($P187&lt;&gt;"",Dashboard!$B$11&gt;0,$P187&lt;=Dashboard!$B$11),$P187,-999))</f>
        <v>-999</v>
      </c>
      <c r="R187" s="108">
        <f>IF(NOT(ISNUMBER(Dashboard!$B$11)),999,IF(AND($P187&lt;&gt;"",Dashboard!$B$11&gt;0,$P187&gt;=Dashboard!$B$11),$P187,999))</f>
        <v>999</v>
      </c>
      <c r="S187" s="108" t="str">
        <f t="shared" si="2"/>
        <v/>
      </c>
    </row>
    <row r="188" spans="1:19" ht="27.4" customHeight="1">
      <c r="A188" s="1" t="s">
        <v>2145</v>
      </c>
      <c r="B188" s="1" t="s">
        <v>2179</v>
      </c>
      <c r="C188" s="1">
        <v>700</v>
      </c>
      <c r="D188" s="1">
        <v>10.8</v>
      </c>
      <c r="E188" s="1">
        <v>1.0509999999999999</v>
      </c>
      <c r="F188" s="1" t="s">
        <v>3010</v>
      </c>
      <c r="G188" s="1" t="s">
        <v>3202</v>
      </c>
      <c r="H188" s="1" t="s">
        <v>2195</v>
      </c>
      <c r="I188" s="1" t="s">
        <v>2195</v>
      </c>
      <c r="J188" s="1" t="s">
        <v>2208</v>
      </c>
      <c r="K188" s="108" t="str">
        <f>IF(AND($A188=Dashboard!$B$8,$C188='Calc Engine'!$B$5),$E188,"")</f>
        <v/>
      </c>
      <c r="L188" s="108">
        <f>IF(NOT(ISNUMBER(Dashboard!$B$11)),999,IF(OR(Dashboard!$B$11&lt;=0,$E188=""),999,ABS($E188-Dashboard!$B$11)))</f>
        <v>0.29900000000000015</v>
      </c>
      <c r="M188" s="108" t="str">
        <f>IF(NOT(ISNUMBER(Dashboard!$B$11)),"",IF(AND(Dashboard!$B$11&gt;0,$L188=MIN($L$2:$L$300)),"Closest overall reference",""))</f>
        <v/>
      </c>
      <c r="N188" s="108">
        <f>IF(NOT(ISNUMBER(Dashboard!$B$11)),999,IF(AND(Dashboard!$B$11&gt;0,$A188=Dashboard!$B$8,$E188&lt;&gt;""),ABS($E188-Dashboard!$B$11),999))</f>
        <v>999</v>
      </c>
      <c r="O188" s="108" t="str">
        <f>IF(NOT(ISNUMBER(Dashboard!$B$11)),"",IF(AND(Dashboard!$B$11&gt;0,$N188=MIN($N$2:$N$300)),"Closest same-material reference",""))</f>
        <v/>
      </c>
      <c r="P188" s="108" t="str">
        <f>IF(AND($A188=Dashboard!$B$8,$C188='Calc Engine'!$B$5,$E188&lt;&gt;""),$E188,"")</f>
        <v/>
      </c>
      <c r="Q188" s="108">
        <f>IF(NOT(ISNUMBER(Dashboard!$B$11)),-999,IF(AND($P188&lt;&gt;"",Dashboard!$B$11&gt;0,$P188&lt;=Dashboard!$B$11),$P188,-999))</f>
        <v>-999</v>
      </c>
      <c r="R188" s="108">
        <f>IF(NOT(ISNUMBER(Dashboard!$B$11)),999,IF(AND($P188&lt;&gt;"",Dashboard!$B$11&gt;0,$P188&gt;=Dashboard!$B$11),$P188,999))</f>
        <v>999</v>
      </c>
      <c r="S188" s="108" t="str">
        <f t="shared" si="2"/>
        <v/>
      </c>
    </row>
    <row r="189" spans="1:19" ht="41.1" customHeight="1">
      <c r="A189" s="1" t="s">
        <v>2145</v>
      </c>
      <c r="B189" s="1" t="s">
        <v>3012</v>
      </c>
      <c r="C189" s="1">
        <v>700</v>
      </c>
      <c r="D189" s="1">
        <v>14</v>
      </c>
      <c r="E189" s="1">
        <v>1.105</v>
      </c>
      <c r="F189" s="1" t="s">
        <v>3013</v>
      </c>
      <c r="G189" s="1" t="s">
        <v>3203</v>
      </c>
      <c r="H189" s="1" t="s">
        <v>2195</v>
      </c>
      <c r="I189" s="1" t="s">
        <v>2195</v>
      </c>
      <c r="J189" s="1" t="s">
        <v>2208</v>
      </c>
      <c r="K189" s="108" t="str">
        <f>IF(AND($A189=Dashboard!$B$8,$C189='Calc Engine'!$B$5),$E189,"")</f>
        <v/>
      </c>
      <c r="L189" s="108">
        <f>IF(NOT(ISNUMBER(Dashboard!$B$11)),999,IF(OR(Dashboard!$B$11&lt;=0,$E189=""),999,ABS($E189-Dashboard!$B$11)))</f>
        <v>0.24500000000000011</v>
      </c>
      <c r="M189" s="108" t="str">
        <f>IF(NOT(ISNUMBER(Dashboard!$B$11)),"",IF(AND(Dashboard!$B$11&gt;0,$L189=MIN($L$2:$L$300)),"Closest overall reference",""))</f>
        <v/>
      </c>
      <c r="N189" s="108">
        <f>IF(NOT(ISNUMBER(Dashboard!$B$11)),999,IF(AND(Dashboard!$B$11&gt;0,$A189=Dashboard!$B$8,$E189&lt;&gt;""),ABS($E189-Dashboard!$B$11),999))</f>
        <v>999</v>
      </c>
      <c r="O189" s="108" t="str">
        <f>IF(NOT(ISNUMBER(Dashboard!$B$11)),"",IF(AND(Dashboard!$B$11&gt;0,$N189=MIN($N$2:$N$300)),"Closest same-material reference",""))</f>
        <v/>
      </c>
      <c r="P189" s="108" t="str">
        <f>IF(AND($A189=Dashboard!$B$8,$C189='Calc Engine'!$B$5,$E189&lt;&gt;""),$E189,"")</f>
        <v/>
      </c>
      <c r="Q189" s="108">
        <f>IF(NOT(ISNUMBER(Dashboard!$B$11)),-999,IF(AND($P189&lt;&gt;"",Dashboard!$B$11&gt;0,$P189&lt;=Dashboard!$B$11),$P189,-999))</f>
        <v>-999</v>
      </c>
      <c r="R189" s="108">
        <f>IF(NOT(ISNUMBER(Dashboard!$B$11)),999,IF(AND($P189&lt;&gt;"",Dashboard!$B$11&gt;0,$P189&gt;=Dashboard!$B$11),$P189,999))</f>
        <v>999</v>
      </c>
      <c r="S189" s="108" t="str">
        <f t="shared" si="2"/>
        <v/>
      </c>
    </row>
    <row r="190" spans="1:19" ht="54.75" customHeight="1">
      <c r="A190" s="1" t="s">
        <v>2145</v>
      </c>
      <c r="B190" s="1" t="s">
        <v>3015</v>
      </c>
      <c r="C190" s="1">
        <v>700</v>
      </c>
      <c r="D190" s="1">
        <v>10.8</v>
      </c>
      <c r="E190" s="1">
        <v>1.0509999999999999</v>
      </c>
      <c r="F190" s="1" t="s">
        <v>3016</v>
      </c>
      <c r="G190" s="1" t="s">
        <v>3204</v>
      </c>
      <c r="H190" s="1" t="s">
        <v>2195</v>
      </c>
      <c r="I190" s="1" t="s">
        <v>2195</v>
      </c>
      <c r="J190" s="1" t="s">
        <v>2208</v>
      </c>
      <c r="K190" s="108" t="str">
        <f>IF(AND($A190=Dashboard!$B$8,$C190='Calc Engine'!$B$5),$E190,"")</f>
        <v/>
      </c>
      <c r="L190" s="108">
        <f>IF(NOT(ISNUMBER(Dashboard!$B$11)),999,IF(OR(Dashboard!$B$11&lt;=0,$E190=""),999,ABS($E190-Dashboard!$B$11)))</f>
        <v>0.29900000000000015</v>
      </c>
      <c r="M190" s="108" t="str">
        <f>IF(NOT(ISNUMBER(Dashboard!$B$11)),"",IF(AND(Dashboard!$B$11&gt;0,$L190=MIN($L$2:$L$300)),"Closest overall reference",""))</f>
        <v/>
      </c>
      <c r="N190" s="108">
        <f>IF(NOT(ISNUMBER(Dashboard!$B$11)),999,IF(AND(Dashboard!$B$11&gt;0,$A190=Dashboard!$B$8,$E190&lt;&gt;""),ABS($E190-Dashboard!$B$11),999))</f>
        <v>999</v>
      </c>
      <c r="O190" s="108" t="str">
        <f>IF(NOT(ISNUMBER(Dashboard!$B$11)),"",IF(AND(Dashboard!$B$11&gt;0,$N190=MIN($N$2:$N$300)),"Closest same-material reference",""))</f>
        <v/>
      </c>
      <c r="P190" s="108" t="str">
        <f>IF(AND($A190=Dashboard!$B$8,$C190='Calc Engine'!$B$5,$E190&lt;&gt;""),$E190,"")</f>
        <v/>
      </c>
      <c r="Q190" s="108">
        <f>IF(NOT(ISNUMBER(Dashboard!$B$11)),-999,IF(AND($P190&lt;&gt;"",Dashboard!$B$11&gt;0,$P190&lt;=Dashboard!$B$11),$P190,-999))</f>
        <v>-999</v>
      </c>
      <c r="R190" s="108">
        <f>IF(NOT(ISNUMBER(Dashboard!$B$11)),999,IF(AND($P190&lt;&gt;"",Dashboard!$B$11&gt;0,$P190&gt;=Dashboard!$B$11),$P190,999))</f>
        <v>999</v>
      </c>
      <c r="S190" s="108" t="str">
        <f t="shared" si="2"/>
        <v/>
      </c>
    </row>
    <row r="191" spans="1:19" ht="27.4" customHeight="1">
      <c r="A191" s="1" t="s">
        <v>2145</v>
      </c>
      <c r="B191" s="1" t="s">
        <v>2186</v>
      </c>
      <c r="C191" s="1">
        <v>800</v>
      </c>
      <c r="D191" s="1">
        <v>15.6</v>
      </c>
      <c r="E191" s="1">
        <v>1.105</v>
      </c>
      <c r="F191" s="1" t="s">
        <v>3010</v>
      </c>
      <c r="G191" s="1" t="s">
        <v>3205</v>
      </c>
      <c r="H191" s="1" t="s">
        <v>2195</v>
      </c>
      <c r="I191" s="1" t="s">
        <v>2195</v>
      </c>
      <c r="J191" s="1" t="s">
        <v>2208</v>
      </c>
      <c r="K191" s="108" t="str">
        <f>IF(AND($A191=Dashboard!$B$8,$C191='Calc Engine'!$B$5),$E191,"")</f>
        <v/>
      </c>
      <c r="L191" s="108">
        <f>IF(NOT(ISNUMBER(Dashboard!$B$11)),999,IF(OR(Dashboard!$B$11&lt;=0,$E191=""),999,ABS($E191-Dashboard!$B$11)))</f>
        <v>0.24500000000000011</v>
      </c>
      <c r="M191" s="108" t="str">
        <f>IF(NOT(ISNUMBER(Dashboard!$B$11)),"",IF(AND(Dashboard!$B$11&gt;0,$L191=MIN($L$2:$L$300)),"Closest overall reference",""))</f>
        <v/>
      </c>
      <c r="N191" s="108">
        <f>IF(NOT(ISNUMBER(Dashboard!$B$11)),999,IF(AND(Dashboard!$B$11&gt;0,$A191=Dashboard!$B$8,$E191&lt;&gt;""),ABS($E191-Dashboard!$B$11),999))</f>
        <v>999</v>
      </c>
      <c r="O191" s="108" t="str">
        <f>IF(NOT(ISNUMBER(Dashboard!$B$11)),"",IF(AND(Dashboard!$B$11&gt;0,$N191=MIN($N$2:$N$300)),"Closest same-material reference",""))</f>
        <v/>
      </c>
      <c r="P191" s="108" t="str">
        <f>IF(AND($A191=Dashboard!$B$8,$C191='Calc Engine'!$B$5,$E191&lt;&gt;""),$E191,"")</f>
        <v/>
      </c>
      <c r="Q191" s="108">
        <f>IF(NOT(ISNUMBER(Dashboard!$B$11)),-999,IF(AND($P191&lt;&gt;"",Dashboard!$B$11&gt;0,$P191&lt;=Dashboard!$B$11),$P191,-999))</f>
        <v>-999</v>
      </c>
      <c r="R191" s="108">
        <f>IF(NOT(ISNUMBER(Dashboard!$B$11)),999,IF(AND($P191&lt;&gt;"",Dashboard!$B$11&gt;0,$P191&gt;=Dashboard!$B$11),$P191,999))</f>
        <v>999</v>
      </c>
      <c r="S191" s="108" t="str">
        <f t="shared" si="2"/>
        <v/>
      </c>
    </row>
    <row r="192" spans="1:19" ht="27.4" customHeight="1">
      <c r="A192" s="1" t="s">
        <v>2145</v>
      </c>
      <c r="B192" s="1" t="s">
        <v>2192</v>
      </c>
      <c r="C192" s="1">
        <v>800</v>
      </c>
      <c r="D192" s="1">
        <v>18.2</v>
      </c>
      <c r="E192" s="1">
        <v>1.137</v>
      </c>
      <c r="F192" s="1" t="s">
        <v>3010</v>
      </c>
      <c r="G192" s="1" t="s">
        <v>3206</v>
      </c>
      <c r="H192" s="1" t="s">
        <v>2195</v>
      </c>
      <c r="I192" s="1" t="s">
        <v>2195</v>
      </c>
      <c r="J192" s="1" t="s">
        <v>2208</v>
      </c>
      <c r="K192" s="108" t="str">
        <f>IF(AND($A192=Dashboard!$B$8,$C192='Calc Engine'!$B$5),$E192,"")</f>
        <v/>
      </c>
      <c r="L192" s="108">
        <f>IF(NOT(ISNUMBER(Dashboard!$B$11)),999,IF(OR(Dashboard!$B$11&lt;=0,$E192=""),999,ABS($E192-Dashboard!$B$11)))</f>
        <v>0.21300000000000008</v>
      </c>
      <c r="M192" s="108" t="str">
        <f>IF(NOT(ISNUMBER(Dashboard!$B$11)),"",IF(AND(Dashboard!$B$11&gt;0,$L192=MIN($L$2:$L$300)),"Closest overall reference",""))</f>
        <v/>
      </c>
      <c r="N192" s="108">
        <f>IF(NOT(ISNUMBER(Dashboard!$B$11)),999,IF(AND(Dashboard!$B$11&gt;0,$A192=Dashboard!$B$8,$E192&lt;&gt;""),ABS($E192-Dashboard!$B$11),999))</f>
        <v>999</v>
      </c>
      <c r="O192" s="108" t="str">
        <f>IF(NOT(ISNUMBER(Dashboard!$B$11)),"",IF(AND(Dashboard!$B$11&gt;0,$N192=MIN($N$2:$N$300)),"Closest same-material reference",""))</f>
        <v/>
      </c>
      <c r="P192" s="108" t="str">
        <f>IF(AND($A192=Dashboard!$B$8,$C192='Calc Engine'!$B$5,$E192&lt;&gt;""),$E192,"")</f>
        <v/>
      </c>
      <c r="Q192" s="108">
        <f>IF(NOT(ISNUMBER(Dashboard!$B$11)),-999,IF(AND($P192&lt;&gt;"",Dashboard!$B$11&gt;0,$P192&lt;=Dashboard!$B$11),$P192,-999))</f>
        <v>-999</v>
      </c>
      <c r="R192" s="108">
        <f>IF(NOT(ISNUMBER(Dashboard!$B$11)),999,IF(AND($P192&lt;&gt;"",Dashboard!$B$11&gt;0,$P192&gt;=Dashboard!$B$11),$P192,999))</f>
        <v>999</v>
      </c>
      <c r="S192" s="108" t="str">
        <f t="shared" si="2"/>
        <v/>
      </c>
    </row>
    <row r="193" spans="1:19" ht="27.4" customHeight="1">
      <c r="A193" s="1" t="s">
        <v>2145</v>
      </c>
      <c r="B193" s="1" t="s">
        <v>2179</v>
      </c>
      <c r="C193" s="1">
        <v>800</v>
      </c>
      <c r="D193" s="1">
        <v>11.7</v>
      </c>
      <c r="E193" s="1">
        <v>1.0389999999999999</v>
      </c>
      <c r="F193" s="1" t="s">
        <v>3010</v>
      </c>
      <c r="G193" s="1" t="s">
        <v>3207</v>
      </c>
      <c r="H193" s="1" t="s">
        <v>2195</v>
      </c>
      <c r="I193" s="1" t="s">
        <v>2195</v>
      </c>
      <c r="J193" s="1" t="s">
        <v>2208</v>
      </c>
      <c r="K193" s="108" t="str">
        <f>IF(AND($A193=Dashboard!$B$8,$C193='Calc Engine'!$B$5),$E193,"")</f>
        <v/>
      </c>
      <c r="L193" s="108">
        <f>IF(NOT(ISNUMBER(Dashboard!$B$11)),999,IF(OR(Dashboard!$B$11&lt;=0,$E193=""),999,ABS($E193-Dashboard!$B$11)))</f>
        <v>0.31100000000000017</v>
      </c>
      <c r="M193" s="108" t="str">
        <f>IF(NOT(ISNUMBER(Dashboard!$B$11)),"",IF(AND(Dashboard!$B$11&gt;0,$L193=MIN($L$2:$L$300)),"Closest overall reference",""))</f>
        <v/>
      </c>
      <c r="N193" s="108">
        <f>IF(NOT(ISNUMBER(Dashboard!$B$11)),999,IF(AND(Dashboard!$B$11&gt;0,$A193=Dashboard!$B$8,$E193&lt;&gt;""),ABS($E193-Dashboard!$B$11),999))</f>
        <v>999</v>
      </c>
      <c r="O193" s="108" t="str">
        <f>IF(NOT(ISNUMBER(Dashboard!$B$11)),"",IF(AND(Dashboard!$B$11&gt;0,$N193=MIN($N$2:$N$300)),"Closest same-material reference",""))</f>
        <v/>
      </c>
      <c r="P193" s="108" t="str">
        <f>IF(AND($A193=Dashboard!$B$8,$C193='Calc Engine'!$B$5,$E193&lt;&gt;""),$E193,"")</f>
        <v/>
      </c>
      <c r="Q193" s="108">
        <f>IF(NOT(ISNUMBER(Dashboard!$B$11)),-999,IF(AND($P193&lt;&gt;"",Dashboard!$B$11&gt;0,$P193&lt;=Dashboard!$B$11),$P193,-999))</f>
        <v>-999</v>
      </c>
      <c r="R193" s="108">
        <f>IF(NOT(ISNUMBER(Dashboard!$B$11)),999,IF(AND($P193&lt;&gt;"",Dashboard!$B$11&gt;0,$P193&gt;=Dashboard!$B$11),$P193,999))</f>
        <v>999</v>
      </c>
      <c r="S193" s="108" t="str">
        <f t="shared" si="2"/>
        <v/>
      </c>
    </row>
    <row r="194" spans="1:19" ht="41.1" customHeight="1">
      <c r="A194" s="1" t="s">
        <v>2145</v>
      </c>
      <c r="B194" s="1" t="s">
        <v>3012</v>
      </c>
      <c r="C194" s="1">
        <v>800</v>
      </c>
      <c r="D194" s="1">
        <v>15.16666666666667</v>
      </c>
      <c r="E194" s="1">
        <v>1.093666666666667</v>
      </c>
      <c r="F194" s="1" t="s">
        <v>3013</v>
      </c>
      <c r="G194" s="1" t="s">
        <v>3208</v>
      </c>
      <c r="H194" s="1" t="s">
        <v>2195</v>
      </c>
      <c r="I194" s="1" t="s">
        <v>2195</v>
      </c>
      <c r="J194" s="1" t="s">
        <v>2208</v>
      </c>
      <c r="K194" s="108" t="str">
        <f>IF(AND($A194=Dashboard!$B$8,$C194='Calc Engine'!$B$5),$E194,"")</f>
        <v/>
      </c>
      <c r="L194" s="108">
        <f>IF(NOT(ISNUMBER(Dashboard!$B$11)),999,IF(OR(Dashboard!$B$11&lt;=0,$E194=""),999,ABS($E194-Dashboard!$B$11)))</f>
        <v>0.25633333333333308</v>
      </c>
      <c r="M194" s="108" t="str">
        <f>IF(NOT(ISNUMBER(Dashboard!$B$11)),"",IF(AND(Dashboard!$B$11&gt;0,$L194=MIN($L$2:$L$300)),"Closest overall reference",""))</f>
        <v/>
      </c>
      <c r="N194" s="108">
        <f>IF(NOT(ISNUMBER(Dashboard!$B$11)),999,IF(AND(Dashboard!$B$11&gt;0,$A194=Dashboard!$B$8,$E194&lt;&gt;""),ABS($E194-Dashboard!$B$11),999))</f>
        <v>999</v>
      </c>
      <c r="O194" s="108" t="str">
        <f>IF(NOT(ISNUMBER(Dashboard!$B$11)),"",IF(AND(Dashboard!$B$11&gt;0,$N194=MIN($N$2:$N$300)),"Closest same-material reference",""))</f>
        <v/>
      </c>
      <c r="P194" s="108" t="str">
        <f>IF(AND($A194=Dashboard!$B$8,$C194='Calc Engine'!$B$5,$E194&lt;&gt;""),$E194,"")</f>
        <v/>
      </c>
      <c r="Q194" s="108">
        <f>IF(NOT(ISNUMBER(Dashboard!$B$11)),-999,IF(AND($P194&lt;&gt;"",Dashboard!$B$11&gt;0,$P194&lt;=Dashboard!$B$11),$P194,-999))</f>
        <v>-999</v>
      </c>
      <c r="R194" s="108">
        <f>IF(NOT(ISNUMBER(Dashboard!$B$11)),999,IF(AND($P194&lt;&gt;"",Dashboard!$B$11&gt;0,$P194&gt;=Dashboard!$B$11),$P194,999))</f>
        <v>999</v>
      </c>
      <c r="S194" s="108" t="str">
        <f t="shared" ref="S194:S257" si="3">IF($P194="","",$D194)</f>
        <v/>
      </c>
    </row>
    <row r="195" spans="1:19" ht="54.75" customHeight="1">
      <c r="A195" s="1" t="s">
        <v>2145</v>
      </c>
      <c r="B195" s="1" t="s">
        <v>3015</v>
      </c>
      <c r="C195" s="1">
        <v>800</v>
      </c>
      <c r="D195" s="1">
        <v>11.7</v>
      </c>
      <c r="E195" s="1">
        <v>1.0389999999999999</v>
      </c>
      <c r="F195" s="1" t="s">
        <v>3016</v>
      </c>
      <c r="G195" s="1" t="s">
        <v>3209</v>
      </c>
      <c r="H195" s="1" t="s">
        <v>2195</v>
      </c>
      <c r="I195" s="1" t="s">
        <v>2195</v>
      </c>
      <c r="J195" s="1" t="s">
        <v>2208</v>
      </c>
      <c r="K195" s="108" t="str">
        <f>IF(AND($A195=Dashboard!$B$8,$C195='Calc Engine'!$B$5),$E195,"")</f>
        <v/>
      </c>
      <c r="L195" s="108">
        <f>IF(NOT(ISNUMBER(Dashboard!$B$11)),999,IF(OR(Dashboard!$B$11&lt;=0,$E195=""),999,ABS($E195-Dashboard!$B$11)))</f>
        <v>0.31100000000000017</v>
      </c>
      <c r="M195" s="108" t="str">
        <f>IF(NOT(ISNUMBER(Dashboard!$B$11)),"",IF(AND(Dashboard!$B$11&gt;0,$L195=MIN($L$2:$L$300)),"Closest overall reference",""))</f>
        <v/>
      </c>
      <c r="N195" s="108">
        <f>IF(NOT(ISNUMBER(Dashboard!$B$11)),999,IF(AND(Dashboard!$B$11&gt;0,$A195=Dashboard!$B$8,$E195&lt;&gt;""),ABS($E195-Dashboard!$B$11),999))</f>
        <v>999</v>
      </c>
      <c r="O195" s="108" t="str">
        <f>IF(NOT(ISNUMBER(Dashboard!$B$11)),"",IF(AND(Dashboard!$B$11&gt;0,$N195=MIN($N$2:$N$300)),"Closest same-material reference",""))</f>
        <v/>
      </c>
      <c r="P195" s="108" t="str">
        <f>IF(AND($A195=Dashboard!$B$8,$C195='Calc Engine'!$B$5,$E195&lt;&gt;""),$E195,"")</f>
        <v/>
      </c>
      <c r="Q195" s="108">
        <f>IF(NOT(ISNUMBER(Dashboard!$B$11)),-999,IF(AND($P195&lt;&gt;"",Dashboard!$B$11&gt;0,$P195&lt;=Dashboard!$B$11),$P195,-999))</f>
        <v>-999</v>
      </c>
      <c r="R195" s="108">
        <f>IF(NOT(ISNUMBER(Dashboard!$B$11)),999,IF(AND($P195&lt;&gt;"",Dashboard!$B$11&gt;0,$P195&gt;=Dashboard!$B$11),$P195,999))</f>
        <v>999</v>
      </c>
      <c r="S195" s="108" t="str">
        <f t="shared" si="3"/>
        <v/>
      </c>
    </row>
    <row r="196" spans="1:19" ht="27.4" customHeight="1">
      <c r="A196" s="1" t="s">
        <v>2145</v>
      </c>
      <c r="B196" s="1" t="s">
        <v>2186</v>
      </c>
      <c r="C196" s="1">
        <v>900</v>
      </c>
      <c r="D196" s="1">
        <v>16.8</v>
      </c>
      <c r="E196" s="1">
        <v>1.095</v>
      </c>
      <c r="F196" s="1" t="s">
        <v>3010</v>
      </c>
      <c r="G196" s="1" t="s">
        <v>3210</v>
      </c>
      <c r="H196" s="1" t="s">
        <v>2195</v>
      </c>
      <c r="I196" s="1" t="s">
        <v>2195</v>
      </c>
      <c r="J196" s="1" t="s">
        <v>2208</v>
      </c>
      <c r="K196" s="108" t="str">
        <f>IF(AND($A196=Dashboard!$B$8,$C196='Calc Engine'!$B$5),$E196,"")</f>
        <v/>
      </c>
      <c r="L196" s="108">
        <f>IF(NOT(ISNUMBER(Dashboard!$B$11)),999,IF(OR(Dashboard!$B$11&lt;=0,$E196=""),999,ABS($E196-Dashboard!$B$11)))</f>
        <v>0.25500000000000012</v>
      </c>
      <c r="M196" s="108" t="str">
        <f>IF(NOT(ISNUMBER(Dashboard!$B$11)),"",IF(AND(Dashboard!$B$11&gt;0,$L196=MIN($L$2:$L$300)),"Closest overall reference",""))</f>
        <v/>
      </c>
      <c r="N196" s="108">
        <f>IF(NOT(ISNUMBER(Dashboard!$B$11)),999,IF(AND(Dashboard!$B$11&gt;0,$A196=Dashboard!$B$8,$E196&lt;&gt;""),ABS($E196-Dashboard!$B$11),999))</f>
        <v>999</v>
      </c>
      <c r="O196" s="108" t="str">
        <f>IF(NOT(ISNUMBER(Dashboard!$B$11)),"",IF(AND(Dashboard!$B$11&gt;0,$N196=MIN($N$2:$N$300)),"Closest same-material reference",""))</f>
        <v/>
      </c>
      <c r="P196" s="108" t="str">
        <f>IF(AND($A196=Dashboard!$B$8,$C196='Calc Engine'!$B$5,$E196&lt;&gt;""),$E196,"")</f>
        <v/>
      </c>
      <c r="Q196" s="108">
        <f>IF(NOT(ISNUMBER(Dashboard!$B$11)),-999,IF(AND($P196&lt;&gt;"",Dashboard!$B$11&gt;0,$P196&lt;=Dashboard!$B$11),$P196,-999))</f>
        <v>-999</v>
      </c>
      <c r="R196" s="108">
        <f>IF(NOT(ISNUMBER(Dashboard!$B$11)),999,IF(AND($P196&lt;&gt;"",Dashboard!$B$11&gt;0,$P196&gt;=Dashboard!$B$11),$P196,999))</f>
        <v>999</v>
      </c>
      <c r="S196" s="108" t="str">
        <f t="shared" si="3"/>
        <v/>
      </c>
    </row>
    <row r="197" spans="1:19" ht="27.4" customHeight="1">
      <c r="A197" s="1" t="s">
        <v>2145</v>
      </c>
      <c r="B197" s="1" t="s">
        <v>2192</v>
      </c>
      <c r="C197" s="1">
        <v>900</v>
      </c>
      <c r="D197" s="1">
        <v>19.600000000000001</v>
      </c>
      <c r="E197" s="1">
        <v>1.1279999999999999</v>
      </c>
      <c r="F197" s="1" t="s">
        <v>3010</v>
      </c>
      <c r="G197" s="1" t="s">
        <v>3211</v>
      </c>
      <c r="H197" s="1" t="s">
        <v>2195</v>
      </c>
      <c r="I197" s="1" t="s">
        <v>2195</v>
      </c>
      <c r="J197" s="1" t="s">
        <v>2208</v>
      </c>
      <c r="K197" s="108" t="str">
        <f>IF(AND($A197=Dashboard!$B$8,$C197='Calc Engine'!$B$5),$E197,"")</f>
        <v/>
      </c>
      <c r="L197" s="108">
        <f>IF(NOT(ISNUMBER(Dashboard!$B$11)),999,IF(OR(Dashboard!$B$11&lt;=0,$E197=""),999,ABS($E197-Dashboard!$B$11)))</f>
        <v>0.2220000000000002</v>
      </c>
      <c r="M197" s="108" t="str">
        <f>IF(NOT(ISNUMBER(Dashboard!$B$11)),"",IF(AND(Dashboard!$B$11&gt;0,$L197=MIN($L$2:$L$300)),"Closest overall reference",""))</f>
        <v/>
      </c>
      <c r="N197" s="108">
        <f>IF(NOT(ISNUMBER(Dashboard!$B$11)),999,IF(AND(Dashboard!$B$11&gt;0,$A197=Dashboard!$B$8,$E197&lt;&gt;""),ABS($E197-Dashboard!$B$11),999))</f>
        <v>999</v>
      </c>
      <c r="O197" s="108" t="str">
        <f>IF(NOT(ISNUMBER(Dashboard!$B$11)),"",IF(AND(Dashboard!$B$11&gt;0,$N197=MIN($N$2:$N$300)),"Closest same-material reference",""))</f>
        <v/>
      </c>
      <c r="P197" s="108" t="str">
        <f>IF(AND($A197=Dashboard!$B$8,$C197='Calc Engine'!$B$5,$E197&lt;&gt;""),$E197,"")</f>
        <v/>
      </c>
      <c r="Q197" s="108">
        <f>IF(NOT(ISNUMBER(Dashboard!$B$11)),-999,IF(AND($P197&lt;&gt;"",Dashboard!$B$11&gt;0,$P197&lt;=Dashboard!$B$11),$P197,-999))</f>
        <v>-999</v>
      </c>
      <c r="R197" s="108">
        <f>IF(NOT(ISNUMBER(Dashboard!$B$11)),999,IF(AND($P197&lt;&gt;"",Dashboard!$B$11&gt;0,$P197&gt;=Dashboard!$B$11),$P197,999))</f>
        <v>999</v>
      </c>
      <c r="S197" s="108" t="str">
        <f t="shared" si="3"/>
        <v/>
      </c>
    </row>
    <row r="198" spans="1:19" ht="27.4" customHeight="1">
      <c r="A198" s="1" t="s">
        <v>2145</v>
      </c>
      <c r="B198" s="1" t="s">
        <v>2179</v>
      </c>
      <c r="C198" s="1">
        <v>900</v>
      </c>
      <c r="D198" s="1">
        <v>12.6</v>
      </c>
      <c r="E198" s="1">
        <v>1.028</v>
      </c>
      <c r="F198" s="1" t="s">
        <v>3010</v>
      </c>
      <c r="G198" s="1" t="s">
        <v>3212</v>
      </c>
      <c r="H198" s="1" t="s">
        <v>2195</v>
      </c>
      <c r="I198" s="1" t="s">
        <v>2195</v>
      </c>
      <c r="J198" s="1" t="s">
        <v>2208</v>
      </c>
      <c r="K198" s="108" t="str">
        <f>IF(AND($A198=Dashboard!$B$8,$C198='Calc Engine'!$B$5),$E198,"")</f>
        <v/>
      </c>
      <c r="L198" s="108">
        <f>IF(NOT(ISNUMBER(Dashboard!$B$11)),999,IF(OR(Dashboard!$B$11&lt;=0,$E198=""),999,ABS($E198-Dashboard!$B$11)))</f>
        <v>0.32200000000000006</v>
      </c>
      <c r="M198" s="108" t="str">
        <f>IF(NOT(ISNUMBER(Dashboard!$B$11)),"",IF(AND(Dashboard!$B$11&gt;0,$L198=MIN($L$2:$L$300)),"Closest overall reference",""))</f>
        <v/>
      </c>
      <c r="N198" s="108">
        <f>IF(NOT(ISNUMBER(Dashboard!$B$11)),999,IF(AND(Dashboard!$B$11&gt;0,$A198=Dashboard!$B$8,$E198&lt;&gt;""),ABS($E198-Dashboard!$B$11),999))</f>
        <v>999</v>
      </c>
      <c r="O198" s="108" t="str">
        <f>IF(NOT(ISNUMBER(Dashboard!$B$11)),"",IF(AND(Dashboard!$B$11&gt;0,$N198=MIN($N$2:$N$300)),"Closest same-material reference",""))</f>
        <v/>
      </c>
      <c r="P198" s="108" t="str">
        <f>IF(AND($A198=Dashboard!$B$8,$C198='Calc Engine'!$B$5,$E198&lt;&gt;""),$E198,"")</f>
        <v/>
      </c>
      <c r="Q198" s="108">
        <f>IF(NOT(ISNUMBER(Dashboard!$B$11)),-999,IF(AND($P198&lt;&gt;"",Dashboard!$B$11&gt;0,$P198&lt;=Dashboard!$B$11),$P198,-999))</f>
        <v>-999</v>
      </c>
      <c r="R198" s="108">
        <f>IF(NOT(ISNUMBER(Dashboard!$B$11)),999,IF(AND($P198&lt;&gt;"",Dashboard!$B$11&gt;0,$P198&gt;=Dashboard!$B$11),$P198,999))</f>
        <v>999</v>
      </c>
      <c r="S198" s="108" t="str">
        <f t="shared" si="3"/>
        <v/>
      </c>
    </row>
    <row r="199" spans="1:19" ht="41.1" customHeight="1">
      <c r="A199" s="1" t="s">
        <v>2145</v>
      </c>
      <c r="B199" s="1" t="s">
        <v>3012</v>
      </c>
      <c r="C199" s="1">
        <v>900</v>
      </c>
      <c r="D199" s="1">
        <v>16.333333333333329</v>
      </c>
      <c r="E199" s="1">
        <v>1.083666666666667</v>
      </c>
      <c r="F199" s="1" t="s">
        <v>3013</v>
      </c>
      <c r="G199" s="1" t="s">
        <v>3213</v>
      </c>
      <c r="H199" s="1" t="s">
        <v>2195</v>
      </c>
      <c r="I199" s="1" t="s">
        <v>2195</v>
      </c>
      <c r="J199" s="1" t="s">
        <v>2208</v>
      </c>
      <c r="K199" s="108" t="str">
        <f>IF(AND($A199=Dashboard!$B$8,$C199='Calc Engine'!$B$5),$E199,"")</f>
        <v/>
      </c>
      <c r="L199" s="108">
        <f>IF(NOT(ISNUMBER(Dashboard!$B$11)),999,IF(OR(Dashboard!$B$11&lt;=0,$E199=""),999,ABS($E199-Dashboard!$B$11)))</f>
        <v>0.26633333333333309</v>
      </c>
      <c r="M199" s="108" t="str">
        <f>IF(NOT(ISNUMBER(Dashboard!$B$11)),"",IF(AND(Dashboard!$B$11&gt;0,$L199=MIN($L$2:$L$300)),"Closest overall reference",""))</f>
        <v/>
      </c>
      <c r="N199" s="108">
        <f>IF(NOT(ISNUMBER(Dashboard!$B$11)),999,IF(AND(Dashboard!$B$11&gt;0,$A199=Dashboard!$B$8,$E199&lt;&gt;""),ABS($E199-Dashboard!$B$11),999))</f>
        <v>999</v>
      </c>
      <c r="O199" s="108" t="str">
        <f>IF(NOT(ISNUMBER(Dashboard!$B$11)),"",IF(AND(Dashboard!$B$11&gt;0,$N199=MIN($N$2:$N$300)),"Closest same-material reference",""))</f>
        <v/>
      </c>
      <c r="P199" s="108" t="str">
        <f>IF(AND($A199=Dashboard!$B$8,$C199='Calc Engine'!$B$5,$E199&lt;&gt;""),$E199,"")</f>
        <v/>
      </c>
      <c r="Q199" s="108">
        <f>IF(NOT(ISNUMBER(Dashboard!$B$11)),-999,IF(AND($P199&lt;&gt;"",Dashboard!$B$11&gt;0,$P199&lt;=Dashboard!$B$11),$P199,-999))</f>
        <v>-999</v>
      </c>
      <c r="R199" s="108">
        <f>IF(NOT(ISNUMBER(Dashboard!$B$11)),999,IF(AND($P199&lt;&gt;"",Dashboard!$B$11&gt;0,$P199&gt;=Dashboard!$B$11),$P199,999))</f>
        <v>999</v>
      </c>
      <c r="S199" s="108" t="str">
        <f t="shared" si="3"/>
        <v/>
      </c>
    </row>
    <row r="200" spans="1:19" ht="54.75" customHeight="1">
      <c r="A200" s="1" t="s">
        <v>2145</v>
      </c>
      <c r="B200" s="1" t="s">
        <v>3015</v>
      </c>
      <c r="C200" s="1">
        <v>900</v>
      </c>
      <c r="D200" s="1">
        <v>12.6</v>
      </c>
      <c r="E200" s="1">
        <v>1.028</v>
      </c>
      <c r="F200" s="1" t="s">
        <v>3016</v>
      </c>
      <c r="G200" s="1" t="s">
        <v>3214</v>
      </c>
      <c r="H200" s="1" t="s">
        <v>2195</v>
      </c>
      <c r="I200" s="1" t="s">
        <v>2195</v>
      </c>
      <c r="J200" s="1" t="s">
        <v>2208</v>
      </c>
      <c r="K200" s="108" t="str">
        <f>IF(AND($A200=Dashboard!$B$8,$C200='Calc Engine'!$B$5),$E200,"")</f>
        <v/>
      </c>
      <c r="L200" s="108">
        <f>IF(NOT(ISNUMBER(Dashboard!$B$11)),999,IF(OR(Dashboard!$B$11&lt;=0,$E200=""),999,ABS($E200-Dashboard!$B$11)))</f>
        <v>0.32200000000000006</v>
      </c>
      <c r="M200" s="108" t="str">
        <f>IF(NOT(ISNUMBER(Dashboard!$B$11)),"",IF(AND(Dashboard!$B$11&gt;0,$L200=MIN($L$2:$L$300)),"Closest overall reference",""))</f>
        <v/>
      </c>
      <c r="N200" s="108">
        <f>IF(NOT(ISNUMBER(Dashboard!$B$11)),999,IF(AND(Dashboard!$B$11&gt;0,$A200=Dashboard!$B$8,$E200&lt;&gt;""),ABS($E200-Dashboard!$B$11),999))</f>
        <v>999</v>
      </c>
      <c r="O200" s="108" t="str">
        <f>IF(NOT(ISNUMBER(Dashboard!$B$11)),"",IF(AND(Dashboard!$B$11&gt;0,$N200=MIN($N$2:$N$300)),"Closest same-material reference",""))</f>
        <v/>
      </c>
      <c r="P200" s="108" t="str">
        <f>IF(AND($A200=Dashboard!$B$8,$C200='Calc Engine'!$B$5,$E200&lt;&gt;""),$E200,"")</f>
        <v/>
      </c>
      <c r="Q200" s="108">
        <f>IF(NOT(ISNUMBER(Dashboard!$B$11)),-999,IF(AND($P200&lt;&gt;"",Dashboard!$B$11&gt;0,$P200&lt;=Dashboard!$B$11),$P200,-999))</f>
        <v>-999</v>
      </c>
      <c r="R200" s="108">
        <f>IF(NOT(ISNUMBER(Dashboard!$B$11)),999,IF(AND($P200&lt;&gt;"",Dashboard!$B$11&gt;0,$P200&gt;=Dashboard!$B$11),$P200,999))</f>
        <v>999</v>
      </c>
      <c r="S200" s="108" t="str">
        <f t="shared" si="3"/>
        <v/>
      </c>
    </row>
    <row r="201" spans="1:19" ht="27.4" customHeight="1">
      <c r="A201" s="1" t="s">
        <v>2145</v>
      </c>
      <c r="B201" s="1" t="s">
        <v>2186</v>
      </c>
      <c r="C201" s="1">
        <v>1000</v>
      </c>
      <c r="D201" s="1">
        <v>18</v>
      </c>
      <c r="E201" s="1">
        <v>1.087</v>
      </c>
      <c r="F201" s="1" t="s">
        <v>3010</v>
      </c>
      <c r="G201" s="1" t="s">
        <v>3215</v>
      </c>
      <c r="H201" s="1" t="s">
        <v>2195</v>
      </c>
      <c r="I201" s="1" t="s">
        <v>2195</v>
      </c>
      <c r="J201" s="1" t="s">
        <v>2208</v>
      </c>
      <c r="K201" s="108" t="str">
        <f>IF(AND($A201=Dashboard!$B$8,$C201='Calc Engine'!$B$5),$E201,"")</f>
        <v/>
      </c>
      <c r="L201" s="108">
        <f>IF(NOT(ISNUMBER(Dashboard!$B$11)),999,IF(OR(Dashboard!$B$11&lt;=0,$E201=""),999,ABS($E201-Dashboard!$B$11)))</f>
        <v>0.26300000000000012</v>
      </c>
      <c r="M201" s="108" t="str">
        <f>IF(NOT(ISNUMBER(Dashboard!$B$11)),"",IF(AND(Dashboard!$B$11&gt;0,$L201=MIN($L$2:$L$300)),"Closest overall reference",""))</f>
        <v/>
      </c>
      <c r="N201" s="108">
        <f>IF(NOT(ISNUMBER(Dashboard!$B$11)),999,IF(AND(Dashboard!$B$11&gt;0,$A201=Dashboard!$B$8,$E201&lt;&gt;""),ABS($E201-Dashboard!$B$11),999))</f>
        <v>999</v>
      </c>
      <c r="O201" s="108" t="str">
        <f>IF(NOT(ISNUMBER(Dashboard!$B$11)),"",IF(AND(Dashboard!$B$11&gt;0,$N201=MIN($N$2:$N$300)),"Closest same-material reference",""))</f>
        <v/>
      </c>
      <c r="P201" s="108" t="str">
        <f>IF(AND($A201=Dashboard!$B$8,$C201='Calc Engine'!$B$5,$E201&lt;&gt;""),$E201,"")</f>
        <v/>
      </c>
      <c r="Q201" s="108">
        <f>IF(NOT(ISNUMBER(Dashboard!$B$11)),-999,IF(AND($P201&lt;&gt;"",Dashboard!$B$11&gt;0,$P201&lt;=Dashboard!$B$11),$P201,-999))</f>
        <v>-999</v>
      </c>
      <c r="R201" s="108">
        <f>IF(NOT(ISNUMBER(Dashboard!$B$11)),999,IF(AND($P201&lt;&gt;"",Dashboard!$B$11&gt;0,$P201&gt;=Dashboard!$B$11),$P201,999))</f>
        <v>999</v>
      </c>
      <c r="S201" s="108" t="str">
        <f t="shared" si="3"/>
        <v/>
      </c>
    </row>
    <row r="202" spans="1:19" ht="27.4" customHeight="1">
      <c r="A202" s="1" t="s">
        <v>2145</v>
      </c>
      <c r="B202" s="1" t="s">
        <v>2192</v>
      </c>
      <c r="C202" s="1">
        <v>1000</v>
      </c>
      <c r="D202" s="1">
        <v>21</v>
      </c>
      <c r="E202" s="1">
        <v>1.121</v>
      </c>
      <c r="F202" s="1" t="s">
        <v>3010</v>
      </c>
      <c r="G202" s="1" t="s">
        <v>3216</v>
      </c>
      <c r="H202" s="1" t="s">
        <v>2195</v>
      </c>
      <c r="I202" s="1" t="s">
        <v>2195</v>
      </c>
      <c r="J202" s="1" t="s">
        <v>2208</v>
      </c>
      <c r="K202" s="108" t="str">
        <f>IF(AND($A202=Dashboard!$B$8,$C202='Calc Engine'!$B$5),$E202,"")</f>
        <v/>
      </c>
      <c r="L202" s="108">
        <f>IF(NOT(ISNUMBER(Dashboard!$B$11)),999,IF(OR(Dashboard!$B$11&lt;=0,$E202=""),999,ABS($E202-Dashboard!$B$11)))</f>
        <v>0.22900000000000009</v>
      </c>
      <c r="M202" s="108" t="str">
        <f>IF(NOT(ISNUMBER(Dashboard!$B$11)),"",IF(AND(Dashboard!$B$11&gt;0,$L202=MIN($L$2:$L$300)),"Closest overall reference",""))</f>
        <v/>
      </c>
      <c r="N202" s="108">
        <f>IF(NOT(ISNUMBER(Dashboard!$B$11)),999,IF(AND(Dashboard!$B$11&gt;0,$A202=Dashboard!$B$8,$E202&lt;&gt;""),ABS($E202-Dashboard!$B$11),999))</f>
        <v>999</v>
      </c>
      <c r="O202" s="108" t="str">
        <f>IF(NOT(ISNUMBER(Dashboard!$B$11)),"",IF(AND(Dashboard!$B$11&gt;0,$N202=MIN($N$2:$N$300)),"Closest same-material reference",""))</f>
        <v/>
      </c>
      <c r="P202" s="108" t="str">
        <f>IF(AND($A202=Dashboard!$B$8,$C202='Calc Engine'!$B$5,$E202&lt;&gt;""),$E202,"")</f>
        <v/>
      </c>
      <c r="Q202" s="108">
        <f>IF(NOT(ISNUMBER(Dashboard!$B$11)),-999,IF(AND($P202&lt;&gt;"",Dashboard!$B$11&gt;0,$P202&lt;=Dashboard!$B$11),$P202,-999))</f>
        <v>-999</v>
      </c>
      <c r="R202" s="108">
        <f>IF(NOT(ISNUMBER(Dashboard!$B$11)),999,IF(AND($P202&lt;&gt;"",Dashboard!$B$11&gt;0,$P202&gt;=Dashboard!$B$11),$P202,999))</f>
        <v>999</v>
      </c>
      <c r="S202" s="108" t="str">
        <f t="shared" si="3"/>
        <v/>
      </c>
    </row>
    <row r="203" spans="1:19" ht="27.4" customHeight="1">
      <c r="A203" s="1" t="s">
        <v>2145</v>
      </c>
      <c r="B203" s="1" t="s">
        <v>2179</v>
      </c>
      <c r="C203" s="1">
        <v>1000</v>
      </c>
      <c r="D203" s="1">
        <v>13.5</v>
      </c>
      <c r="E203" s="1">
        <v>1.0189999999999999</v>
      </c>
      <c r="F203" s="1" t="s">
        <v>3010</v>
      </c>
      <c r="G203" s="1" t="s">
        <v>3217</v>
      </c>
      <c r="H203" s="1" t="s">
        <v>2195</v>
      </c>
      <c r="I203" s="1" t="s">
        <v>2195</v>
      </c>
      <c r="J203" s="1" t="s">
        <v>2208</v>
      </c>
      <c r="K203" s="108" t="str">
        <f>IF(AND($A203=Dashboard!$B$8,$C203='Calc Engine'!$B$5),$E203,"")</f>
        <v/>
      </c>
      <c r="L203" s="108">
        <f>IF(NOT(ISNUMBER(Dashboard!$B$11)),999,IF(OR(Dashboard!$B$11&lt;=0,$E203=""),999,ABS($E203-Dashboard!$B$11)))</f>
        <v>0.33100000000000018</v>
      </c>
      <c r="M203" s="108" t="str">
        <f>IF(NOT(ISNUMBER(Dashboard!$B$11)),"",IF(AND(Dashboard!$B$11&gt;0,$L203=MIN($L$2:$L$300)),"Closest overall reference",""))</f>
        <v/>
      </c>
      <c r="N203" s="108">
        <f>IF(NOT(ISNUMBER(Dashboard!$B$11)),999,IF(AND(Dashboard!$B$11&gt;0,$A203=Dashboard!$B$8,$E203&lt;&gt;""),ABS($E203-Dashboard!$B$11),999))</f>
        <v>999</v>
      </c>
      <c r="O203" s="108" t="str">
        <f>IF(NOT(ISNUMBER(Dashboard!$B$11)),"",IF(AND(Dashboard!$B$11&gt;0,$N203=MIN($N$2:$N$300)),"Closest same-material reference",""))</f>
        <v/>
      </c>
      <c r="P203" s="108" t="str">
        <f>IF(AND($A203=Dashboard!$B$8,$C203='Calc Engine'!$B$5,$E203&lt;&gt;""),$E203,"")</f>
        <v/>
      </c>
      <c r="Q203" s="108">
        <f>IF(NOT(ISNUMBER(Dashboard!$B$11)),-999,IF(AND($P203&lt;&gt;"",Dashboard!$B$11&gt;0,$P203&lt;=Dashboard!$B$11),$P203,-999))</f>
        <v>-999</v>
      </c>
      <c r="R203" s="108">
        <f>IF(NOT(ISNUMBER(Dashboard!$B$11)),999,IF(AND($P203&lt;&gt;"",Dashboard!$B$11&gt;0,$P203&gt;=Dashboard!$B$11),$P203,999))</f>
        <v>999</v>
      </c>
      <c r="S203" s="108" t="str">
        <f t="shared" si="3"/>
        <v/>
      </c>
    </row>
    <row r="204" spans="1:19" ht="41.1" customHeight="1">
      <c r="A204" s="1" t="s">
        <v>2145</v>
      </c>
      <c r="B204" s="1" t="s">
        <v>3012</v>
      </c>
      <c r="C204" s="1">
        <v>1000</v>
      </c>
      <c r="D204" s="1">
        <v>17.5</v>
      </c>
      <c r="E204" s="1">
        <v>1.075666666666667</v>
      </c>
      <c r="F204" s="1" t="s">
        <v>3013</v>
      </c>
      <c r="G204" s="1" t="s">
        <v>3218</v>
      </c>
      <c r="H204" s="1" t="s">
        <v>2195</v>
      </c>
      <c r="I204" s="1" t="s">
        <v>2195</v>
      </c>
      <c r="J204" s="1" t="s">
        <v>2208</v>
      </c>
      <c r="K204" s="108" t="str">
        <f>IF(AND($A204=Dashboard!$B$8,$C204='Calc Engine'!$B$5),$E204,"")</f>
        <v/>
      </c>
      <c r="L204" s="108">
        <f>IF(NOT(ISNUMBER(Dashboard!$B$11)),999,IF(OR(Dashboard!$B$11&lt;=0,$E204=""),999,ABS($E204-Dashboard!$B$11)))</f>
        <v>0.2743333333333331</v>
      </c>
      <c r="M204" s="108" t="str">
        <f>IF(NOT(ISNUMBER(Dashboard!$B$11)),"",IF(AND(Dashboard!$B$11&gt;0,$L204=MIN($L$2:$L$300)),"Closest overall reference",""))</f>
        <v/>
      </c>
      <c r="N204" s="108">
        <f>IF(NOT(ISNUMBER(Dashboard!$B$11)),999,IF(AND(Dashboard!$B$11&gt;0,$A204=Dashboard!$B$8,$E204&lt;&gt;""),ABS($E204-Dashboard!$B$11),999))</f>
        <v>999</v>
      </c>
      <c r="O204" s="108" t="str">
        <f>IF(NOT(ISNUMBER(Dashboard!$B$11)),"",IF(AND(Dashboard!$B$11&gt;0,$N204=MIN($N$2:$N$300)),"Closest same-material reference",""))</f>
        <v/>
      </c>
      <c r="P204" s="108" t="str">
        <f>IF(AND($A204=Dashboard!$B$8,$C204='Calc Engine'!$B$5,$E204&lt;&gt;""),$E204,"")</f>
        <v/>
      </c>
      <c r="Q204" s="108">
        <f>IF(NOT(ISNUMBER(Dashboard!$B$11)),-999,IF(AND($P204&lt;&gt;"",Dashboard!$B$11&gt;0,$P204&lt;=Dashboard!$B$11),$P204,-999))</f>
        <v>-999</v>
      </c>
      <c r="R204" s="108">
        <f>IF(NOT(ISNUMBER(Dashboard!$B$11)),999,IF(AND($P204&lt;&gt;"",Dashboard!$B$11&gt;0,$P204&gt;=Dashboard!$B$11),$P204,999))</f>
        <v>999</v>
      </c>
      <c r="S204" s="108" t="str">
        <f t="shared" si="3"/>
        <v/>
      </c>
    </row>
    <row r="205" spans="1:19" ht="54.75" customHeight="1">
      <c r="A205" s="1" t="s">
        <v>2145</v>
      </c>
      <c r="B205" s="1" t="s">
        <v>3015</v>
      </c>
      <c r="C205" s="1">
        <v>1000</v>
      </c>
      <c r="D205" s="1">
        <v>13.5</v>
      </c>
      <c r="E205" s="1">
        <v>1.0189999999999999</v>
      </c>
      <c r="F205" s="1" t="s">
        <v>3016</v>
      </c>
      <c r="G205" s="1" t="s">
        <v>3219</v>
      </c>
      <c r="H205" s="1" t="s">
        <v>2195</v>
      </c>
      <c r="I205" s="1" t="s">
        <v>2195</v>
      </c>
      <c r="J205" s="1" t="s">
        <v>2208</v>
      </c>
      <c r="K205" s="108" t="str">
        <f>IF(AND($A205=Dashboard!$B$8,$C205='Calc Engine'!$B$5),$E205,"")</f>
        <v/>
      </c>
      <c r="L205" s="108">
        <f>IF(NOT(ISNUMBER(Dashboard!$B$11)),999,IF(OR(Dashboard!$B$11&lt;=0,$E205=""),999,ABS($E205-Dashboard!$B$11)))</f>
        <v>0.33100000000000018</v>
      </c>
      <c r="M205" s="108" t="str">
        <f>IF(NOT(ISNUMBER(Dashboard!$B$11)),"",IF(AND(Dashboard!$B$11&gt;0,$L205=MIN($L$2:$L$300)),"Closest overall reference",""))</f>
        <v/>
      </c>
      <c r="N205" s="108">
        <f>IF(NOT(ISNUMBER(Dashboard!$B$11)),999,IF(AND(Dashboard!$B$11&gt;0,$A205=Dashboard!$B$8,$E205&lt;&gt;""),ABS($E205-Dashboard!$B$11),999))</f>
        <v>999</v>
      </c>
      <c r="O205" s="108" t="str">
        <f>IF(NOT(ISNUMBER(Dashboard!$B$11)),"",IF(AND(Dashboard!$B$11&gt;0,$N205=MIN($N$2:$N$300)),"Closest same-material reference",""))</f>
        <v/>
      </c>
      <c r="P205" s="108" t="str">
        <f>IF(AND($A205=Dashboard!$B$8,$C205='Calc Engine'!$B$5,$E205&lt;&gt;""),$E205,"")</f>
        <v/>
      </c>
      <c r="Q205" s="108">
        <f>IF(NOT(ISNUMBER(Dashboard!$B$11)),-999,IF(AND($P205&lt;&gt;"",Dashboard!$B$11&gt;0,$P205&lt;=Dashboard!$B$11),$P205,-999))</f>
        <v>-999</v>
      </c>
      <c r="R205" s="108">
        <f>IF(NOT(ISNUMBER(Dashboard!$B$11)),999,IF(AND($P205&lt;&gt;"",Dashboard!$B$11&gt;0,$P205&gt;=Dashboard!$B$11),$P205,999))</f>
        <v>999</v>
      </c>
      <c r="S205" s="108" t="str">
        <f t="shared" si="3"/>
        <v/>
      </c>
    </row>
    <row r="206" spans="1:19" ht="27.4" customHeight="1">
      <c r="A206" s="1" t="s">
        <v>2145</v>
      </c>
      <c r="B206" s="1" t="s">
        <v>2186</v>
      </c>
      <c r="C206" s="1">
        <v>1100</v>
      </c>
      <c r="D206" s="1">
        <v>19.2</v>
      </c>
      <c r="E206" s="1">
        <v>1.08</v>
      </c>
      <c r="F206" s="1" t="s">
        <v>3010</v>
      </c>
      <c r="G206" s="1" t="s">
        <v>3220</v>
      </c>
      <c r="H206" s="1" t="s">
        <v>2195</v>
      </c>
      <c r="I206" s="1" t="s">
        <v>2195</v>
      </c>
      <c r="J206" s="1" t="s">
        <v>2208</v>
      </c>
      <c r="K206" s="108" t="str">
        <f>IF(AND($A206=Dashboard!$B$8,$C206='Calc Engine'!$B$5),$E206,"")</f>
        <v/>
      </c>
      <c r="L206" s="108">
        <f>IF(NOT(ISNUMBER(Dashboard!$B$11)),999,IF(OR(Dashboard!$B$11&lt;=0,$E206=""),999,ABS($E206-Dashboard!$B$11)))</f>
        <v>0.27</v>
      </c>
      <c r="M206" s="108" t="str">
        <f>IF(NOT(ISNUMBER(Dashboard!$B$11)),"",IF(AND(Dashboard!$B$11&gt;0,$L206=MIN($L$2:$L$300)),"Closest overall reference",""))</f>
        <v/>
      </c>
      <c r="N206" s="108">
        <f>IF(NOT(ISNUMBER(Dashboard!$B$11)),999,IF(AND(Dashboard!$B$11&gt;0,$A206=Dashboard!$B$8,$E206&lt;&gt;""),ABS($E206-Dashboard!$B$11),999))</f>
        <v>999</v>
      </c>
      <c r="O206" s="108" t="str">
        <f>IF(NOT(ISNUMBER(Dashboard!$B$11)),"",IF(AND(Dashboard!$B$11&gt;0,$N206=MIN($N$2:$N$300)),"Closest same-material reference",""))</f>
        <v/>
      </c>
      <c r="P206" s="108" t="str">
        <f>IF(AND($A206=Dashboard!$B$8,$C206='Calc Engine'!$B$5,$E206&lt;&gt;""),$E206,"")</f>
        <v/>
      </c>
      <c r="Q206" s="108">
        <f>IF(NOT(ISNUMBER(Dashboard!$B$11)),-999,IF(AND($P206&lt;&gt;"",Dashboard!$B$11&gt;0,$P206&lt;=Dashboard!$B$11),$P206,-999))</f>
        <v>-999</v>
      </c>
      <c r="R206" s="108">
        <f>IF(NOT(ISNUMBER(Dashboard!$B$11)),999,IF(AND($P206&lt;&gt;"",Dashboard!$B$11&gt;0,$P206&gt;=Dashboard!$B$11),$P206,999))</f>
        <v>999</v>
      </c>
      <c r="S206" s="108" t="str">
        <f t="shared" si="3"/>
        <v/>
      </c>
    </row>
    <row r="207" spans="1:19" ht="27.4" customHeight="1">
      <c r="A207" s="1" t="s">
        <v>2145</v>
      </c>
      <c r="B207" s="1" t="s">
        <v>2192</v>
      </c>
      <c r="C207" s="1">
        <v>1100</v>
      </c>
      <c r="D207" s="1">
        <v>22.4</v>
      </c>
      <c r="E207" s="1">
        <v>1.1140000000000001</v>
      </c>
      <c r="F207" s="1" t="s">
        <v>3010</v>
      </c>
      <c r="G207" s="1" t="s">
        <v>3221</v>
      </c>
      <c r="H207" s="1" t="s">
        <v>2195</v>
      </c>
      <c r="I207" s="1" t="s">
        <v>2195</v>
      </c>
      <c r="J207" s="1" t="s">
        <v>2208</v>
      </c>
      <c r="K207" s="108" t="str">
        <f>IF(AND($A207=Dashboard!$B$8,$C207='Calc Engine'!$B$5),$E207,"")</f>
        <v/>
      </c>
      <c r="L207" s="108">
        <f>IF(NOT(ISNUMBER(Dashboard!$B$11)),999,IF(OR(Dashboard!$B$11&lt;=0,$E207=""),999,ABS($E207-Dashboard!$B$11)))</f>
        <v>0.23599999999999999</v>
      </c>
      <c r="M207" s="108" t="str">
        <f>IF(NOT(ISNUMBER(Dashboard!$B$11)),"",IF(AND(Dashboard!$B$11&gt;0,$L207=MIN($L$2:$L$300)),"Closest overall reference",""))</f>
        <v/>
      </c>
      <c r="N207" s="108">
        <f>IF(NOT(ISNUMBER(Dashboard!$B$11)),999,IF(AND(Dashboard!$B$11&gt;0,$A207=Dashboard!$B$8,$E207&lt;&gt;""),ABS($E207-Dashboard!$B$11),999))</f>
        <v>999</v>
      </c>
      <c r="O207" s="108" t="str">
        <f>IF(NOT(ISNUMBER(Dashboard!$B$11)),"",IF(AND(Dashboard!$B$11&gt;0,$N207=MIN($N$2:$N$300)),"Closest same-material reference",""))</f>
        <v/>
      </c>
      <c r="P207" s="108" t="str">
        <f>IF(AND($A207=Dashboard!$B$8,$C207='Calc Engine'!$B$5,$E207&lt;&gt;""),$E207,"")</f>
        <v/>
      </c>
      <c r="Q207" s="108">
        <f>IF(NOT(ISNUMBER(Dashboard!$B$11)),-999,IF(AND($P207&lt;&gt;"",Dashboard!$B$11&gt;0,$P207&lt;=Dashboard!$B$11),$P207,-999))</f>
        <v>-999</v>
      </c>
      <c r="R207" s="108">
        <f>IF(NOT(ISNUMBER(Dashboard!$B$11)),999,IF(AND($P207&lt;&gt;"",Dashboard!$B$11&gt;0,$P207&gt;=Dashboard!$B$11),$P207,999))</f>
        <v>999</v>
      </c>
      <c r="S207" s="108" t="str">
        <f t="shared" si="3"/>
        <v/>
      </c>
    </row>
    <row r="208" spans="1:19" ht="27.4" customHeight="1">
      <c r="A208" s="1" t="s">
        <v>2145</v>
      </c>
      <c r="B208" s="1" t="s">
        <v>2179</v>
      </c>
      <c r="C208" s="1">
        <v>1100</v>
      </c>
      <c r="D208" s="1">
        <v>14.4</v>
      </c>
      <c r="E208" s="1">
        <v>1.012</v>
      </c>
      <c r="F208" s="1" t="s">
        <v>3010</v>
      </c>
      <c r="G208" s="1" t="s">
        <v>3222</v>
      </c>
      <c r="H208" s="1" t="s">
        <v>2195</v>
      </c>
      <c r="I208" s="1" t="s">
        <v>2195</v>
      </c>
      <c r="J208" s="1" t="s">
        <v>2208</v>
      </c>
      <c r="K208" s="108" t="str">
        <f>IF(AND($A208=Dashboard!$B$8,$C208='Calc Engine'!$B$5),$E208,"")</f>
        <v/>
      </c>
      <c r="L208" s="108">
        <f>IF(NOT(ISNUMBER(Dashboard!$B$11)),999,IF(OR(Dashboard!$B$11&lt;=0,$E208=""),999,ABS($E208-Dashboard!$B$11)))</f>
        <v>0.33800000000000008</v>
      </c>
      <c r="M208" s="108" t="str">
        <f>IF(NOT(ISNUMBER(Dashboard!$B$11)),"",IF(AND(Dashboard!$B$11&gt;0,$L208=MIN($L$2:$L$300)),"Closest overall reference",""))</f>
        <v/>
      </c>
      <c r="N208" s="108">
        <f>IF(NOT(ISNUMBER(Dashboard!$B$11)),999,IF(AND(Dashboard!$B$11&gt;0,$A208=Dashboard!$B$8,$E208&lt;&gt;""),ABS($E208-Dashboard!$B$11),999))</f>
        <v>999</v>
      </c>
      <c r="O208" s="108" t="str">
        <f>IF(NOT(ISNUMBER(Dashboard!$B$11)),"",IF(AND(Dashboard!$B$11&gt;0,$N208=MIN($N$2:$N$300)),"Closest same-material reference",""))</f>
        <v/>
      </c>
      <c r="P208" s="108" t="str">
        <f>IF(AND($A208=Dashboard!$B$8,$C208='Calc Engine'!$B$5,$E208&lt;&gt;""),$E208,"")</f>
        <v/>
      </c>
      <c r="Q208" s="108">
        <f>IF(NOT(ISNUMBER(Dashboard!$B$11)),-999,IF(AND($P208&lt;&gt;"",Dashboard!$B$11&gt;0,$P208&lt;=Dashboard!$B$11),$P208,-999))</f>
        <v>-999</v>
      </c>
      <c r="R208" s="108">
        <f>IF(NOT(ISNUMBER(Dashboard!$B$11)),999,IF(AND($P208&lt;&gt;"",Dashboard!$B$11&gt;0,$P208&gt;=Dashboard!$B$11),$P208,999))</f>
        <v>999</v>
      </c>
      <c r="S208" s="108" t="str">
        <f t="shared" si="3"/>
        <v/>
      </c>
    </row>
    <row r="209" spans="1:19" ht="41.1" customHeight="1">
      <c r="A209" s="1" t="s">
        <v>2145</v>
      </c>
      <c r="B209" s="1" t="s">
        <v>3012</v>
      </c>
      <c r="C209" s="1">
        <v>1100</v>
      </c>
      <c r="D209" s="1">
        <v>18.666666666666671</v>
      </c>
      <c r="E209" s="1">
        <v>1.0686666666666671</v>
      </c>
      <c r="F209" s="1" t="s">
        <v>3013</v>
      </c>
      <c r="G209" s="1" t="s">
        <v>3223</v>
      </c>
      <c r="H209" s="1" t="s">
        <v>2195</v>
      </c>
      <c r="I209" s="1" t="s">
        <v>2195</v>
      </c>
      <c r="J209" s="1" t="s">
        <v>2208</v>
      </c>
      <c r="K209" s="108" t="str">
        <f>IF(AND($A209=Dashboard!$B$8,$C209='Calc Engine'!$B$5),$E209,"")</f>
        <v/>
      </c>
      <c r="L209" s="108">
        <f>IF(NOT(ISNUMBER(Dashboard!$B$11)),999,IF(OR(Dashboard!$B$11&lt;=0,$E209=""),999,ABS($E209-Dashboard!$B$11)))</f>
        <v>0.28133333333333299</v>
      </c>
      <c r="M209" s="108" t="str">
        <f>IF(NOT(ISNUMBER(Dashboard!$B$11)),"",IF(AND(Dashboard!$B$11&gt;0,$L209=MIN($L$2:$L$300)),"Closest overall reference",""))</f>
        <v/>
      </c>
      <c r="N209" s="108">
        <f>IF(NOT(ISNUMBER(Dashboard!$B$11)),999,IF(AND(Dashboard!$B$11&gt;0,$A209=Dashboard!$B$8,$E209&lt;&gt;""),ABS($E209-Dashboard!$B$11),999))</f>
        <v>999</v>
      </c>
      <c r="O209" s="108" t="str">
        <f>IF(NOT(ISNUMBER(Dashboard!$B$11)),"",IF(AND(Dashboard!$B$11&gt;0,$N209=MIN($N$2:$N$300)),"Closest same-material reference",""))</f>
        <v/>
      </c>
      <c r="P209" s="108" t="str">
        <f>IF(AND($A209=Dashboard!$B$8,$C209='Calc Engine'!$B$5,$E209&lt;&gt;""),$E209,"")</f>
        <v/>
      </c>
      <c r="Q209" s="108">
        <f>IF(NOT(ISNUMBER(Dashboard!$B$11)),-999,IF(AND($P209&lt;&gt;"",Dashboard!$B$11&gt;0,$P209&lt;=Dashboard!$B$11),$P209,-999))</f>
        <v>-999</v>
      </c>
      <c r="R209" s="108">
        <f>IF(NOT(ISNUMBER(Dashboard!$B$11)),999,IF(AND($P209&lt;&gt;"",Dashboard!$B$11&gt;0,$P209&gt;=Dashboard!$B$11),$P209,999))</f>
        <v>999</v>
      </c>
      <c r="S209" s="108" t="str">
        <f t="shared" si="3"/>
        <v/>
      </c>
    </row>
    <row r="210" spans="1:19" ht="54.75" customHeight="1">
      <c r="A210" s="1" t="s">
        <v>2145</v>
      </c>
      <c r="B210" s="1" t="s">
        <v>3015</v>
      </c>
      <c r="C210" s="1">
        <v>1100</v>
      </c>
      <c r="D210" s="1">
        <v>14.4</v>
      </c>
      <c r="E210" s="1">
        <v>1.012</v>
      </c>
      <c r="F210" s="1" t="s">
        <v>3016</v>
      </c>
      <c r="G210" s="1" t="s">
        <v>3224</v>
      </c>
      <c r="H210" s="1" t="s">
        <v>2195</v>
      </c>
      <c r="I210" s="1" t="s">
        <v>2195</v>
      </c>
      <c r="J210" s="1" t="s">
        <v>2208</v>
      </c>
      <c r="K210" s="108" t="str">
        <f>IF(AND($A210=Dashboard!$B$8,$C210='Calc Engine'!$B$5),$E210,"")</f>
        <v/>
      </c>
      <c r="L210" s="108">
        <f>IF(NOT(ISNUMBER(Dashboard!$B$11)),999,IF(OR(Dashboard!$B$11&lt;=0,$E210=""),999,ABS($E210-Dashboard!$B$11)))</f>
        <v>0.33800000000000008</v>
      </c>
      <c r="M210" s="108" t="str">
        <f>IF(NOT(ISNUMBER(Dashboard!$B$11)),"",IF(AND(Dashboard!$B$11&gt;0,$L210=MIN($L$2:$L$300)),"Closest overall reference",""))</f>
        <v/>
      </c>
      <c r="N210" s="108">
        <f>IF(NOT(ISNUMBER(Dashboard!$B$11)),999,IF(AND(Dashboard!$B$11&gt;0,$A210=Dashboard!$B$8,$E210&lt;&gt;""),ABS($E210-Dashboard!$B$11),999))</f>
        <v>999</v>
      </c>
      <c r="O210" s="108" t="str">
        <f>IF(NOT(ISNUMBER(Dashboard!$B$11)),"",IF(AND(Dashboard!$B$11&gt;0,$N210=MIN($N$2:$N$300)),"Closest same-material reference",""))</f>
        <v/>
      </c>
      <c r="P210" s="108" t="str">
        <f>IF(AND($A210=Dashboard!$B$8,$C210='Calc Engine'!$B$5,$E210&lt;&gt;""),$E210,"")</f>
        <v/>
      </c>
      <c r="Q210" s="108">
        <f>IF(NOT(ISNUMBER(Dashboard!$B$11)),-999,IF(AND($P210&lt;&gt;"",Dashboard!$B$11&gt;0,$P210&lt;=Dashboard!$B$11),$P210,-999))</f>
        <v>-999</v>
      </c>
      <c r="R210" s="108">
        <f>IF(NOT(ISNUMBER(Dashboard!$B$11)),999,IF(AND($P210&lt;&gt;"",Dashboard!$B$11&gt;0,$P210&gt;=Dashboard!$B$11),$P210,999))</f>
        <v>999</v>
      </c>
      <c r="S210" s="108" t="str">
        <f t="shared" si="3"/>
        <v/>
      </c>
    </row>
    <row r="211" spans="1:19" ht="27.4" customHeight="1">
      <c r="A211" s="1" t="s">
        <v>2145</v>
      </c>
      <c r="B211" s="1" t="s">
        <v>2186</v>
      </c>
      <c r="C211" s="1">
        <v>1200</v>
      </c>
      <c r="D211" s="1">
        <v>20.399999999999999</v>
      </c>
      <c r="E211" s="1">
        <v>1.0740000000000001</v>
      </c>
      <c r="F211" s="1" t="s">
        <v>3010</v>
      </c>
      <c r="G211" s="1" t="s">
        <v>3225</v>
      </c>
      <c r="H211" s="1" t="s">
        <v>2195</v>
      </c>
      <c r="I211" s="1" t="s">
        <v>2195</v>
      </c>
      <c r="J211" s="1" t="s">
        <v>2208</v>
      </c>
      <c r="K211" s="108" t="str">
        <f>IF(AND($A211=Dashboard!$B$8,$C211='Calc Engine'!$B$5),$E211,"")</f>
        <v/>
      </c>
      <c r="L211" s="108">
        <f>IF(NOT(ISNUMBER(Dashboard!$B$11)),999,IF(OR(Dashboard!$B$11&lt;=0,$E211=""),999,ABS($E211-Dashboard!$B$11)))</f>
        <v>0.27600000000000002</v>
      </c>
      <c r="M211" s="108" t="str">
        <f>IF(NOT(ISNUMBER(Dashboard!$B$11)),"",IF(AND(Dashboard!$B$11&gt;0,$L211=MIN($L$2:$L$300)),"Closest overall reference",""))</f>
        <v/>
      </c>
      <c r="N211" s="108">
        <f>IF(NOT(ISNUMBER(Dashboard!$B$11)),999,IF(AND(Dashboard!$B$11&gt;0,$A211=Dashboard!$B$8,$E211&lt;&gt;""),ABS($E211-Dashboard!$B$11),999))</f>
        <v>999</v>
      </c>
      <c r="O211" s="108" t="str">
        <f>IF(NOT(ISNUMBER(Dashboard!$B$11)),"",IF(AND(Dashboard!$B$11&gt;0,$N211=MIN($N$2:$N$300)),"Closest same-material reference",""))</f>
        <v/>
      </c>
      <c r="P211" s="108" t="str">
        <f>IF(AND($A211=Dashboard!$B$8,$C211='Calc Engine'!$B$5,$E211&lt;&gt;""),$E211,"")</f>
        <v/>
      </c>
      <c r="Q211" s="108">
        <f>IF(NOT(ISNUMBER(Dashboard!$B$11)),-999,IF(AND($P211&lt;&gt;"",Dashboard!$B$11&gt;0,$P211&lt;=Dashboard!$B$11),$P211,-999))</f>
        <v>-999</v>
      </c>
      <c r="R211" s="108">
        <f>IF(NOT(ISNUMBER(Dashboard!$B$11)),999,IF(AND($P211&lt;&gt;"",Dashboard!$B$11&gt;0,$P211&gt;=Dashboard!$B$11),$P211,999))</f>
        <v>999</v>
      </c>
      <c r="S211" s="108" t="str">
        <f t="shared" si="3"/>
        <v/>
      </c>
    </row>
    <row r="212" spans="1:19" ht="27.4" customHeight="1">
      <c r="A212" s="1" t="s">
        <v>2145</v>
      </c>
      <c r="B212" s="1" t="s">
        <v>2192</v>
      </c>
      <c r="C212" s="1">
        <v>1200</v>
      </c>
      <c r="D212" s="1">
        <v>23.8</v>
      </c>
      <c r="E212" s="1">
        <v>1.1080000000000001</v>
      </c>
      <c r="F212" s="1" t="s">
        <v>3010</v>
      </c>
      <c r="G212" s="1" t="s">
        <v>3226</v>
      </c>
      <c r="H212" s="1" t="s">
        <v>2195</v>
      </c>
      <c r="I212" s="1" t="s">
        <v>2195</v>
      </c>
      <c r="J212" s="1" t="s">
        <v>2208</v>
      </c>
      <c r="K212" s="108" t="str">
        <f>IF(AND($A212=Dashboard!$B$8,$C212='Calc Engine'!$B$5),$E212,"")</f>
        <v/>
      </c>
      <c r="L212" s="108">
        <f>IF(NOT(ISNUMBER(Dashboard!$B$11)),999,IF(OR(Dashboard!$B$11&lt;=0,$E212=""),999,ABS($E212-Dashboard!$B$11)))</f>
        <v>0.24199999999999999</v>
      </c>
      <c r="M212" s="108" t="str">
        <f>IF(NOT(ISNUMBER(Dashboard!$B$11)),"",IF(AND(Dashboard!$B$11&gt;0,$L212=MIN($L$2:$L$300)),"Closest overall reference",""))</f>
        <v/>
      </c>
      <c r="N212" s="108">
        <f>IF(NOT(ISNUMBER(Dashboard!$B$11)),999,IF(AND(Dashboard!$B$11&gt;0,$A212=Dashboard!$B$8,$E212&lt;&gt;""),ABS($E212-Dashboard!$B$11),999))</f>
        <v>999</v>
      </c>
      <c r="O212" s="108" t="str">
        <f>IF(NOT(ISNUMBER(Dashboard!$B$11)),"",IF(AND(Dashboard!$B$11&gt;0,$N212=MIN($N$2:$N$300)),"Closest same-material reference",""))</f>
        <v/>
      </c>
      <c r="P212" s="108" t="str">
        <f>IF(AND($A212=Dashboard!$B$8,$C212='Calc Engine'!$B$5,$E212&lt;&gt;""),$E212,"")</f>
        <v/>
      </c>
      <c r="Q212" s="108">
        <f>IF(NOT(ISNUMBER(Dashboard!$B$11)),-999,IF(AND($P212&lt;&gt;"",Dashboard!$B$11&gt;0,$P212&lt;=Dashboard!$B$11),$P212,-999))</f>
        <v>-999</v>
      </c>
      <c r="R212" s="108">
        <f>IF(NOT(ISNUMBER(Dashboard!$B$11)),999,IF(AND($P212&lt;&gt;"",Dashboard!$B$11&gt;0,$P212&gt;=Dashboard!$B$11),$P212,999))</f>
        <v>999</v>
      </c>
      <c r="S212" s="108" t="str">
        <f t="shared" si="3"/>
        <v/>
      </c>
    </row>
    <row r="213" spans="1:19" ht="27.4" customHeight="1">
      <c r="A213" s="1" t="s">
        <v>2145</v>
      </c>
      <c r="B213" s="1" t="s">
        <v>2179</v>
      </c>
      <c r="C213" s="1">
        <v>1200</v>
      </c>
      <c r="D213" s="1">
        <v>15.3</v>
      </c>
      <c r="E213" s="1">
        <v>1.0049999999999999</v>
      </c>
      <c r="F213" s="1" t="s">
        <v>3010</v>
      </c>
      <c r="G213" s="1" t="s">
        <v>3227</v>
      </c>
      <c r="H213" s="1" t="s">
        <v>2195</v>
      </c>
      <c r="I213" s="1" t="s">
        <v>2195</v>
      </c>
      <c r="J213" s="1" t="s">
        <v>2208</v>
      </c>
      <c r="K213" s="108" t="str">
        <f>IF(AND($A213=Dashboard!$B$8,$C213='Calc Engine'!$B$5),$E213,"")</f>
        <v/>
      </c>
      <c r="L213" s="108">
        <f>IF(NOT(ISNUMBER(Dashboard!$B$11)),999,IF(OR(Dashboard!$B$11&lt;=0,$E213=""),999,ABS($E213-Dashboard!$B$11)))</f>
        <v>0.3450000000000002</v>
      </c>
      <c r="M213" s="108" t="str">
        <f>IF(NOT(ISNUMBER(Dashboard!$B$11)),"",IF(AND(Dashboard!$B$11&gt;0,$L213=MIN($L$2:$L$300)),"Closest overall reference",""))</f>
        <v/>
      </c>
      <c r="N213" s="108">
        <f>IF(NOT(ISNUMBER(Dashboard!$B$11)),999,IF(AND(Dashboard!$B$11&gt;0,$A213=Dashboard!$B$8,$E213&lt;&gt;""),ABS($E213-Dashboard!$B$11),999))</f>
        <v>999</v>
      </c>
      <c r="O213" s="108" t="str">
        <f>IF(NOT(ISNUMBER(Dashboard!$B$11)),"",IF(AND(Dashboard!$B$11&gt;0,$N213=MIN($N$2:$N$300)),"Closest same-material reference",""))</f>
        <v/>
      </c>
      <c r="P213" s="108" t="str">
        <f>IF(AND($A213=Dashboard!$B$8,$C213='Calc Engine'!$B$5,$E213&lt;&gt;""),$E213,"")</f>
        <v/>
      </c>
      <c r="Q213" s="108">
        <f>IF(NOT(ISNUMBER(Dashboard!$B$11)),-999,IF(AND($P213&lt;&gt;"",Dashboard!$B$11&gt;0,$P213&lt;=Dashboard!$B$11),$P213,-999))</f>
        <v>-999</v>
      </c>
      <c r="R213" s="108">
        <f>IF(NOT(ISNUMBER(Dashboard!$B$11)),999,IF(AND($P213&lt;&gt;"",Dashboard!$B$11&gt;0,$P213&gt;=Dashboard!$B$11),$P213,999))</f>
        <v>999</v>
      </c>
      <c r="S213" s="108" t="str">
        <f t="shared" si="3"/>
        <v/>
      </c>
    </row>
    <row r="214" spans="1:19" ht="41.1" customHeight="1">
      <c r="A214" s="1" t="s">
        <v>2145</v>
      </c>
      <c r="B214" s="1" t="s">
        <v>3012</v>
      </c>
      <c r="C214" s="1">
        <v>1200</v>
      </c>
      <c r="D214" s="1">
        <v>19.833333333333329</v>
      </c>
      <c r="E214" s="1">
        <v>1.0623333333333329</v>
      </c>
      <c r="F214" s="1" t="s">
        <v>3013</v>
      </c>
      <c r="G214" s="1" t="s">
        <v>3228</v>
      </c>
      <c r="H214" s="1" t="s">
        <v>2195</v>
      </c>
      <c r="I214" s="1" t="s">
        <v>2195</v>
      </c>
      <c r="J214" s="1" t="s">
        <v>2208</v>
      </c>
      <c r="K214" s="108" t="str">
        <f>IF(AND($A214=Dashboard!$B$8,$C214='Calc Engine'!$B$5),$E214,"")</f>
        <v/>
      </c>
      <c r="L214" s="108">
        <f>IF(NOT(ISNUMBER(Dashboard!$B$11)),999,IF(OR(Dashboard!$B$11&lt;=0,$E214=""),999,ABS($E214-Dashboard!$B$11)))</f>
        <v>0.28766666666666718</v>
      </c>
      <c r="M214" s="108" t="str">
        <f>IF(NOT(ISNUMBER(Dashboard!$B$11)),"",IF(AND(Dashboard!$B$11&gt;0,$L214=MIN($L$2:$L$300)),"Closest overall reference",""))</f>
        <v/>
      </c>
      <c r="N214" s="108">
        <f>IF(NOT(ISNUMBER(Dashboard!$B$11)),999,IF(AND(Dashboard!$B$11&gt;0,$A214=Dashboard!$B$8,$E214&lt;&gt;""),ABS($E214-Dashboard!$B$11),999))</f>
        <v>999</v>
      </c>
      <c r="O214" s="108" t="str">
        <f>IF(NOT(ISNUMBER(Dashboard!$B$11)),"",IF(AND(Dashboard!$B$11&gt;0,$N214=MIN($N$2:$N$300)),"Closest same-material reference",""))</f>
        <v/>
      </c>
      <c r="P214" s="108" t="str">
        <f>IF(AND($A214=Dashboard!$B$8,$C214='Calc Engine'!$B$5,$E214&lt;&gt;""),$E214,"")</f>
        <v/>
      </c>
      <c r="Q214" s="108">
        <f>IF(NOT(ISNUMBER(Dashboard!$B$11)),-999,IF(AND($P214&lt;&gt;"",Dashboard!$B$11&gt;0,$P214&lt;=Dashboard!$B$11),$P214,-999))</f>
        <v>-999</v>
      </c>
      <c r="R214" s="108">
        <f>IF(NOT(ISNUMBER(Dashboard!$B$11)),999,IF(AND($P214&lt;&gt;"",Dashboard!$B$11&gt;0,$P214&gt;=Dashboard!$B$11),$P214,999))</f>
        <v>999</v>
      </c>
      <c r="S214" s="108" t="str">
        <f t="shared" si="3"/>
        <v/>
      </c>
    </row>
    <row r="215" spans="1:19" ht="54.75" customHeight="1">
      <c r="A215" s="1" t="s">
        <v>2145</v>
      </c>
      <c r="B215" s="1" t="s">
        <v>3015</v>
      </c>
      <c r="C215" s="1">
        <v>1200</v>
      </c>
      <c r="D215" s="1">
        <v>15.3</v>
      </c>
      <c r="E215" s="1">
        <v>1.0049999999999999</v>
      </c>
      <c r="F215" s="1" t="s">
        <v>3016</v>
      </c>
      <c r="G215" s="1" t="s">
        <v>3229</v>
      </c>
      <c r="H215" s="1" t="s">
        <v>2195</v>
      </c>
      <c r="I215" s="1" t="s">
        <v>2195</v>
      </c>
      <c r="J215" s="1" t="s">
        <v>2208</v>
      </c>
      <c r="K215" s="108" t="str">
        <f>IF(AND($A215=Dashboard!$B$8,$C215='Calc Engine'!$B$5),$E215,"")</f>
        <v/>
      </c>
      <c r="L215" s="108">
        <f>IF(NOT(ISNUMBER(Dashboard!$B$11)),999,IF(OR(Dashboard!$B$11&lt;=0,$E215=""),999,ABS($E215-Dashboard!$B$11)))</f>
        <v>0.3450000000000002</v>
      </c>
      <c r="M215" s="108" t="str">
        <f>IF(NOT(ISNUMBER(Dashboard!$B$11)),"",IF(AND(Dashboard!$B$11&gt;0,$L215=MIN($L$2:$L$300)),"Closest overall reference",""))</f>
        <v/>
      </c>
      <c r="N215" s="108">
        <f>IF(NOT(ISNUMBER(Dashboard!$B$11)),999,IF(AND(Dashboard!$B$11&gt;0,$A215=Dashboard!$B$8,$E215&lt;&gt;""),ABS($E215-Dashboard!$B$11),999))</f>
        <v>999</v>
      </c>
      <c r="O215" s="108" t="str">
        <f>IF(NOT(ISNUMBER(Dashboard!$B$11)),"",IF(AND(Dashboard!$B$11&gt;0,$N215=MIN($N$2:$N$300)),"Closest same-material reference",""))</f>
        <v/>
      </c>
      <c r="P215" s="108" t="str">
        <f>IF(AND($A215=Dashboard!$B$8,$C215='Calc Engine'!$B$5,$E215&lt;&gt;""),$E215,"")</f>
        <v/>
      </c>
      <c r="Q215" s="108">
        <f>IF(NOT(ISNUMBER(Dashboard!$B$11)),-999,IF(AND($P215&lt;&gt;"",Dashboard!$B$11&gt;0,$P215&lt;=Dashboard!$B$11),$P215,-999))</f>
        <v>-999</v>
      </c>
      <c r="R215" s="108">
        <f>IF(NOT(ISNUMBER(Dashboard!$B$11)),999,IF(AND($P215&lt;&gt;"",Dashboard!$B$11&gt;0,$P215&gt;=Dashboard!$B$11),$P215,999))</f>
        <v>999</v>
      </c>
      <c r="S215" s="108" t="str">
        <f t="shared" si="3"/>
        <v/>
      </c>
    </row>
    <row r="216" spans="1:19" ht="27.4" customHeight="1">
      <c r="A216" s="1" t="s">
        <v>2145</v>
      </c>
      <c r="B216" s="1" t="s">
        <v>2186</v>
      </c>
      <c r="C216" s="1">
        <v>1400</v>
      </c>
      <c r="D216" s="1">
        <v>22.8</v>
      </c>
      <c r="E216" s="1">
        <v>1.0640000000000001</v>
      </c>
      <c r="F216" s="1" t="s">
        <v>3010</v>
      </c>
      <c r="G216" s="1" t="s">
        <v>3230</v>
      </c>
      <c r="H216" s="1" t="s">
        <v>2195</v>
      </c>
      <c r="I216" s="1" t="s">
        <v>2195</v>
      </c>
      <c r="J216" s="1" t="s">
        <v>2208</v>
      </c>
      <c r="K216" s="108" t="str">
        <f>IF(AND($A216=Dashboard!$B$8,$C216='Calc Engine'!$B$5),$E216,"")</f>
        <v/>
      </c>
      <c r="L216" s="108">
        <f>IF(NOT(ISNUMBER(Dashboard!$B$11)),999,IF(OR(Dashboard!$B$11&lt;=0,$E216=""),999,ABS($E216-Dashboard!$B$11)))</f>
        <v>0.28600000000000003</v>
      </c>
      <c r="M216" s="108" t="str">
        <f>IF(NOT(ISNUMBER(Dashboard!$B$11)),"",IF(AND(Dashboard!$B$11&gt;0,$L216=MIN($L$2:$L$300)),"Closest overall reference",""))</f>
        <v/>
      </c>
      <c r="N216" s="108">
        <f>IF(NOT(ISNUMBER(Dashboard!$B$11)),999,IF(AND(Dashboard!$B$11&gt;0,$A216=Dashboard!$B$8,$E216&lt;&gt;""),ABS($E216-Dashboard!$B$11),999))</f>
        <v>999</v>
      </c>
      <c r="O216" s="108" t="str">
        <f>IF(NOT(ISNUMBER(Dashboard!$B$11)),"",IF(AND(Dashboard!$B$11&gt;0,$N216=MIN($N$2:$N$300)),"Closest same-material reference",""))</f>
        <v/>
      </c>
      <c r="P216" s="108" t="str">
        <f>IF(AND($A216=Dashboard!$B$8,$C216='Calc Engine'!$B$5,$E216&lt;&gt;""),$E216,"")</f>
        <v/>
      </c>
      <c r="Q216" s="108">
        <f>IF(NOT(ISNUMBER(Dashboard!$B$11)),-999,IF(AND($P216&lt;&gt;"",Dashboard!$B$11&gt;0,$P216&lt;=Dashboard!$B$11),$P216,-999))</f>
        <v>-999</v>
      </c>
      <c r="R216" s="108">
        <f>IF(NOT(ISNUMBER(Dashboard!$B$11)),999,IF(AND($P216&lt;&gt;"",Dashboard!$B$11&gt;0,$P216&gt;=Dashboard!$B$11),$P216,999))</f>
        <v>999</v>
      </c>
      <c r="S216" s="108" t="str">
        <f t="shared" si="3"/>
        <v/>
      </c>
    </row>
    <row r="217" spans="1:19" ht="27.4" customHeight="1">
      <c r="A217" s="1" t="s">
        <v>2145</v>
      </c>
      <c r="B217" s="1" t="s">
        <v>2192</v>
      </c>
      <c r="C217" s="1">
        <v>1400</v>
      </c>
      <c r="D217" s="1">
        <v>26.6</v>
      </c>
      <c r="E217" s="1">
        <v>1.099</v>
      </c>
      <c r="F217" s="1" t="s">
        <v>3010</v>
      </c>
      <c r="G217" s="1" t="s">
        <v>3231</v>
      </c>
      <c r="H217" s="1" t="s">
        <v>2195</v>
      </c>
      <c r="I217" s="1" t="s">
        <v>2195</v>
      </c>
      <c r="J217" s="1" t="s">
        <v>2208</v>
      </c>
      <c r="K217" s="108" t="str">
        <f>IF(AND($A217=Dashboard!$B$8,$C217='Calc Engine'!$B$5),$E217,"")</f>
        <v/>
      </c>
      <c r="L217" s="108">
        <f>IF(NOT(ISNUMBER(Dashboard!$B$11)),999,IF(OR(Dashboard!$B$11&lt;=0,$E217=""),999,ABS($E217-Dashboard!$B$11)))</f>
        <v>0.25100000000000011</v>
      </c>
      <c r="M217" s="108" t="str">
        <f>IF(NOT(ISNUMBER(Dashboard!$B$11)),"",IF(AND(Dashboard!$B$11&gt;0,$L217=MIN($L$2:$L$300)),"Closest overall reference",""))</f>
        <v/>
      </c>
      <c r="N217" s="108">
        <f>IF(NOT(ISNUMBER(Dashboard!$B$11)),999,IF(AND(Dashboard!$B$11&gt;0,$A217=Dashboard!$B$8,$E217&lt;&gt;""),ABS($E217-Dashboard!$B$11),999))</f>
        <v>999</v>
      </c>
      <c r="O217" s="108" t="str">
        <f>IF(NOT(ISNUMBER(Dashboard!$B$11)),"",IF(AND(Dashboard!$B$11&gt;0,$N217=MIN($N$2:$N$300)),"Closest same-material reference",""))</f>
        <v/>
      </c>
      <c r="P217" s="108" t="str">
        <f>IF(AND($A217=Dashboard!$B$8,$C217='Calc Engine'!$B$5,$E217&lt;&gt;""),$E217,"")</f>
        <v/>
      </c>
      <c r="Q217" s="108">
        <f>IF(NOT(ISNUMBER(Dashboard!$B$11)),-999,IF(AND($P217&lt;&gt;"",Dashboard!$B$11&gt;0,$P217&lt;=Dashboard!$B$11),$P217,-999))</f>
        <v>-999</v>
      </c>
      <c r="R217" s="108">
        <f>IF(NOT(ISNUMBER(Dashboard!$B$11)),999,IF(AND($P217&lt;&gt;"",Dashboard!$B$11&gt;0,$P217&gt;=Dashboard!$B$11),$P217,999))</f>
        <v>999</v>
      </c>
      <c r="S217" s="108" t="str">
        <f t="shared" si="3"/>
        <v/>
      </c>
    </row>
    <row r="218" spans="1:19" ht="27.4" customHeight="1">
      <c r="A218" s="1" t="s">
        <v>2145</v>
      </c>
      <c r="B218" s="1" t="s">
        <v>2179</v>
      </c>
      <c r="C218" s="1">
        <v>1400</v>
      </c>
      <c r="D218" s="1">
        <v>17.100000000000001</v>
      </c>
      <c r="E218" s="1">
        <v>0.99399999999999999</v>
      </c>
      <c r="F218" s="1" t="s">
        <v>3010</v>
      </c>
      <c r="G218" s="1" t="s">
        <v>3232</v>
      </c>
      <c r="H218" s="1" t="s">
        <v>2195</v>
      </c>
      <c r="I218" s="1" t="s">
        <v>2195</v>
      </c>
      <c r="J218" s="1" t="s">
        <v>2208</v>
      </c>
      <c r="K218" s="108" t="str">
        <f>IF(AND($A218=Dashboard!$B$8,$C218='Calc Engine'!$B$5),$E218,"")</f>
        <v/>
      </c>
      <c r="L218" s="108">
        <f>IF(NOT(ISNUMBER(Dashboard!$B$11)),999,IF(OR(Dashboard!$B$11&lt;=0,$E218=""),999,ABS($E218-Dashboard!$B$11)))</f>
        <v>0.35600000000000009</v>
      </c>
      <c r="M218" s="108" t="str">
        <f>IF(NOT(ISNUMBER(Dashboard!$B$11)),"",IF(AND(Dashboard!$B$11&gt;0,$L218=MIN($L$2:$L$300)),"Closest overall reference",""))</f>
        <v/>
      </c>
      <c r="N218" s="108">
        <f>IF(NOT(ISNUMBER(Dashboard!$B$11)),999,IF(AND(Dashboard!$B$11&gt;0,$A218=Dashboard!$B$8,$E218&lt;&gt;""),ABS($E218-Dashboard!$B$11),999))</f>
        <v>999</v>
      </c>
      <c r="O218" s="108" t="str">
        <f>IF(NOT(ISNUMBER(Dashboard!$B$11)),"",IF(AND(Dashboard!$B$11&gt;0,$N218=MIN($N$2:$N$300)),"Closest same-material reference",""))</f>
        <v/>
      </c>
      <c r="P218" s="108" t="str">
        <f>IF(AND($A218=Dashboard!$B$8,$C218='Calc Engine'!$B$5,$E218&lt;&gt;""),$E218,"")</f>
        <v/>
      </c>
      <c r="Q218" s="108">
        <f>IF(NOT(ISNUMBER(Dashboard!$B$11)),-999,IF(AND($P218&lt;&gt;"",Dashboard!$B$11&gt;0,$P218&lt;=Dashboard!$B$11),$P218,-999))</f>
        <v>-999</v>
      </c>
      <c r="R218" s="108">
        <f>IF(NOT(ISNUMBER(Dashboard!$B$11)),999,IF(AND($P218&lt;&gt;"",Dashboard!$B$11&gt;0,$P218&gt;=Dashboard!$B$11),$P218,999))</f>
        <v>999</v>
      </c>
      <c r="S218" s="108" t="str">
        <f t="shared" si="3"/>
        <v/>
      </c>
    </row>
    <row r="219" spans="1:19" ht="41.1" customHeight="1">
      <c r="A219" s="1" t="s">
        <v>2145</v>
      </c>
      <c r="B219" s="1" t="s">
        <v>3012</v>
      </c>
      <c r="C219" s="1">
        <v>1400</v>
      </c>
      <c r="D219" s="1">
        <v>22.166666666666671</v>
      </c>
      <c r="E219" s="1">
        <v>1.0523333333333329</v>
      </c>
      <c r="F219" s="1" t="s">
        <v>3013</v>
      </c>
      <c r="G219" s="1" t="s">
        <v>3233</v>
      </c>
      <c r="H219" s="1" t="s">
        <v>2195</v>
      </c>
      <c r="I219" s="1" t="s">
        <v>2195</v>
      </c>
      <c r="J219" s="1" t="s">
        <v>2208</v>
      </c>
      <c r="K219" s="108" t="str">
        <f>IF(AND($A219=Dashboard!$B$8,$C219='Calc Engine'!$B$5),$E219,"")</f>
        <v/>
      </c>
      <c r="L219" s="108">
        <f>IF(NOT(ISNUMBER(Dashboard!$B$11)),999,IF(OR(Dashboard!$B$11&lt;=0,$E219=""),999,ABS($E219-Dashboard!$B$11)))</f>
        <v>0.29766666666666719</v>
      </c>
      <c r="M219" s="108" t="str">
        <f>IF(NOT(ISNUMBER(Dashboard!$B$11)),"",IF(AND(Dashboard!$B$11&gt;0,$L219=MIN($L$2:$L$300)),"Closest overall reference",""))</f>
        <v/>
      </c>
      <c r="N219" s="108">
        <f>IF(NOT(ISNUMBER(Dashboard!$B$11)),999,IF(AND(Dashboard!$B$11&gt;0,$A219=Dashboard!$B$8,$E219&lt;&gt;""),ABS($E219-Dashboard!$B$11),999))</f>
        <v>999</v>
      </c>
      <c r="O219" s="108" t="str">
        <f>IF(NOT(ISNUMBER(Dashboard!$B$11)),"",IF(AND(Dashboard!$B$11&gt;0,$N219=MIN($N$2:$N$300)),"Closest same-material reference",""))</f>
        <v/>
      </c>
      <c r="P219" s="108" t="str">
        <f>IF(AND($A219=Dashboard!$B$8,$C219='Calc Engine'!$B$5,$E219&lt;&gt;""),$E219,"")</f>
        <v/>
      </c>
      <c r="Q219" s="108">
        <f>IF(NOT(ISNUMBER(Dashboard!$B$11)),-999,IF(AND($P219&lt;&gt;"",Dashboard!$B$11&gt;0,$P219&lt;=Dashboard!$B$11),$P219,-999))</f>
        <v>-999</v>
      </c>
      <c r="R219" s="108">
        <f>IF(NOT(ISNUMBER(Dashboard!$B$11)),999,IF(AND($P219&lt;&gt;"",Dashboard!$B$11&gt;0,$P219&gt;=Dashboard!$B$11),$P219,999))</f>
        <v>999</v>
      </c>
      <c r="S219" s="108" t="str">
        <f t="shared" si="3"/>
        <v/>
      </c>
    </row>
    <row r="220" spans="1:19" ht="54.75" customHeight="1">
      <c r="A220" s="1" t="s">
        <v>2145</v>
      </c>
      <c r="B220" s="1" t="s">
        <v>3015</v>
      </c>
      <c r="C220" s="1">
        <v>1400</v>
      </c>
      <c r="D220" s="1">
        <v>17.100000000000001</v>
      </c>
      <c r="E220" s="1">
        <v>0.99399999999999999</v>
      </c>
      <c r="F220" s="1" t="s">
        <v>3016</v>
      </c>
      <c r="G220" s="1" t="s">
        <v>3234</v>
      </c>
      <c r="H220" s="1" t="s">
        <v>2195</v>
      </c>
      <c r="I220" s="1" t="s">
        <v>2195</v>
      </c>
      <c r="J220" s="1" t="s">
        <v>2208</v>
      </c>
      <c r="K220" s="108" t="str">
        <f>IF(AND($A220=Dashboard!$B$8,$C220='Calc Engine'!$B$5),$E220,"")</f>
        <v/>
      </c>
      <c r="L220" s="108">
        <f>IF(NOT(ISNUMBER(Dashboard!$B$11)),999,IF(OR(Dashboard!$B$11&lt;=0,$E220=""),999,ABS($E220-Dashboard!$B$11)))</f>
        <v>0.35600000000000009</v>
      </c>
      <c r="M220" s="108" t="str">
        <f>IF(NOT(ISNUMBER(Dashboard!$B$11)),"",IF(AND(Dashboard!$B$11&gt;0,$L220=MIN($L$2:$L$300)),"Closest overall reference",""))</f>
        <v/>
      </c>
      <c r="N220" s="108">
        <f>IF(NOT(ISNUMBER(Dashboard!$B$11)),999,IF(AND(Dashboard!$B$11&gt;0,$A220=Dashboard!$B$8,$E220&lt;&gt;""),ABS($E220-Dashboard!$B$11),999))</f>
        <v>999</v>
      </c>
      <c r="O220" s="108" t="str">
        <f>IF(NOT(ISNUMBER(Dashboard!$B$11)),"",IF(AND(Dashboard!$B$11&gt;0,$N220=MIN($N$2:$N$300)),"Closest same-material reference",""))</f>
        <v/>
      </c>
      <c r="P220" s="108" t="str">
        <f>IF(AND($A220=Dashboard!$B$8,$C220='Calc Engine'!$B$5,$E220&lt;&gt;""),$E220,"")</f>
        <v/>
      </c>
      <c r="Q220" s="108">
        <f>IF(NOT(ISNUMBER(Dashboard!$B$11)),-999,IF(AND($P220&lt;&gt;"",Dashboard!$B$11&gt;0,$P220&lt;=Dashboard!$B$11),$P220,-999))</f>
        <v>-999</v>
      </c>
      <c r="R220" s="108">
        <f>IF(NOT(ISNUMBER(Dashboard!$B$11)),999,IF(AND($P220&lt;&gt;"",Dashboard!$B$11&gt;0,$P220&gt;=Dashboard!$B$11),$P220,999))</f>
        <v>999</v>
      </c>
      <c r="S220" s="108" t="str">
        <f t="shared" si="3"/>
        <v/>
      </c>
    </row>
    <row r="221" spans="1:19" ht="27.4" customHeight="1">
      <c r="A221" s="1" t="s">
        <v>2145</v>
      </c>
      <c r="B221" s="1" t="s">
        <v>2186</v>
      </c>
      <c r="C221" s="1">
        <v>1600</v>
      </c>
      <c r="D221" s="1">
        <v>25.2</v>
      </c>
      <c r="E221" s="1">
        <v>1.056</v>
      </c>
      <c r="F221" s="1" t="s">
        <v>3010</v>
      </c>
      <c r="G221" s="1" t="s">
        <v>3235</v>
      </c>
      <c r="H221" s="1" t="s">
        <v>2195</v>
      </c>
      <c r="I221" s="1" t="s">
        <v>2195</v>
      </c>
      <c r="J221" s="1" t="s">
        <v>2208</v>
      </c>
      <c r="K221" s="108" t="str">
        <f>IF(AND($A221=Dashboard!$B$8,$C221='Calc Engine'!$B$5),$E221,"")</f>
        <v/>
      </c>
      <c r="L221" s="108">
        <f>IF(NOT(ISNUMBER(Dashboard!$B$11)),999,IF(OR(Dashboard!$B$11&lt;=0,$E221=""),999,ABS($E221-Dashboard!$B$11)))</f>
        <v>0.29400000000000004</v>
      </c>
      <c r="M221" s="108" t="str">
        <f>IF(NOT(ISNUMBER(Dashboard!$B$11)),"",IF(AND(Dashboard!$B$11&gt;0,$L221=MIN($L$2:$L$300)),"Closest overall reference",""))</f>
        <v/>
      </c>
      <c r="N221" s="108">
        <f>IF(NOT(ISNUMBER(Dashboard!$B$11)),999,IF(AND(Dashboard!$B$11&gt;0,$A221=Dashboard!$B$8,$E221&lt;&gt;""),ABS($E221-Dashboard!$B$11),999))</f>
        <v>999</v>
      </c>
      <c r="O221" s="108" t="str">
        <f>IF(NOT(ISNUMBER(Dashboard!$B$11)),"",IF(AND(Dashboard!$B$11&gt;0,$N221=MIN($N$2:$N$300)),"Closest same-material reference",""))</f>
        <v/>
      </c>
      <c r="P221" s="108" t="str">
        <f>IF(AND($A221=Dashboard!$B$8,$C221='Calc Engine'!$B$5,$E221&lt;&gt;""),$E221,"")</f>
        <v/>
      </c>
      <c r="Q221" s="108">
        <f>IF(NOT(ISNUMBER(Dashboard!$B$11)),-999,IF(AND($P221&lt;&gt;"",Dashboard!$B$11&gt;0,$P221&lt;=Dashboard!$B$11),$P221,-999))</f>
        <v>-999</v>
      </c>
      <c r="R221" s="108">
        <f>IF(NOT(ISNUMBER(Dashboard!$B$11)),999,IF(AND($P221&lt;&gt;"",Dashboard!$B$11&gt;0,$P221&gt;=Dashboard!$B$11),$P221,999))</f>
        <v>999</v>
      </c>
      <c r="S221" s="108" t="str">
        <f t="shared" si="3"/>
        <v/>
      </c>
    </row>
    <row r="222" spans="1:19" ht="27.4" customHeight="1">
      <c r="A222" s="1" t="s">
        <v>2145</v>
      </c>
      <c r="B222" s="1" t="s">
        <v>2192</v>
      </c>
      <c r="C222" s="1">
        <v>1600</v>
      </c>
      <c r="D222" s="1">
        <v>29.4</v>
      </c>
      <c r="E222" s="1">
        <v>1.0920000000000001</v>
      </c>
      <c r="F222" s="1" t="s">
        <v>3010</v>
      </c>
      <c r="G222" s="1" t="s">
        <v>3236</v>
      </c>
      <c r="H222" s="1" t="s">
        <v>2195</v>
      </c>
      <c r="I222" s="1" t="s">
        <v>2195</v>
      </c>
      <c r="J222" s="1" t="s">
        <v>2208</v>
      </c>
      <c r="K222" s="108" t="str">
        <f>IF(AND($A222=Dashboard!$B$8,$C222='Calc Engine'!$B$5),$E222,"")</f>
        <v/>
      </c>
      <c r="L222" s="108">
        <f>IF(NOT(ISNUMBER(Dashboard!$B$11)),999,IF(OR(Dashboard!$B$11&lt;=0,$E222=""),999,ABS($E222-Dashboard!$B$11)))</f>
        <v>0.25800000000000001</v>
      </c>
      <c r="M222" s="108" t="str">
        <f>IF(NOT(ISNUMBER(Dashboard!$B$11)),"",IF(AND(Dashboard!$B$11&gt;0,$L222=MIN($L$2:$L$300)),"Closest overall reference",""))</f>
        <v/>
      </c>
      <c r="N222" s="108">
        <f>IF(NOT(ISNUMBER(Dashboard!$B$11)),999,IF(AND(Dashboard!$B$11&gt;0,$A222=Dashboard!$B$8,$E222&lt;&gt;""),ABS($E222-Dashboard!$B$11),999))</f>
        <v>999</v>
      </c>
      <c r="O222" s="108" t="str">
        <f>IF(NOT(ISNUMBER(Dashboard!$B$11)),"",IF(AND(Dashboard!$B$11&gt;0,$N222=MIN($N$2:$N$300)),"Closest same-material reference",""))</f>
        <v/>
      </c>
      <c r="P222" s="108" t="str">
        <f>IF(AND($A222=Dashboard!$B$8,$C222='Calc Engine'!$B$5,$E222&lt;&gt;""),$E222,"")</f>
        <v/>
      </c>
      <c r="Q222" s="108">
        <f>IF(NOT(ISNUMBER(Dashboard!$B$11)),-999,IF(AND($P222&lt;&gt;"",Dashboard!$B$11&gt;0,$P222&lt;=Dashboard!$B$11),$P222,-999))</f>
        <v>-999</v>
      </c>
      <c r="R222" s="108">
        <f>IF(NOT(ISNUMBER(Dashboard!$B$11)),999,IF(AND($P222&lt;&gt;"",Dashboard!$B$11&gt;0,$P222&gt;=Dashboard!$B$11),$P222,999))</f>
        <v>999</v>
      </c>
      <c r="S222" s="108" t="str">
        <f t="shared" si="3"/>
        <v/>
      </c>
    </row>
    <row r="223" spans="1:19" ht="27.4" customHeight="1">
      <c r="A223" s="1" t="s">
        <v>2145</v>
      </c>
      <c r="B223" s="1" t="s">
        <v>2179</v>
      </c>
      <c r="C223" s="1">
        <v>1600</v>
      </c>
      <c r="D223" s="1">
        <v>18.899999999999999</v>
      </c>
      <c r="E223" s="1">
        <v>0.98599999999999999</v>
      </c>
      <c r="F223" s="1" t="s">
        <v>3010</v>
      </c>
      <c r="G223" s="1" t="s">
        <v>3237</v>
      </c>
      <c r="H223" s="1" t="s">
        <v>2195</v>
      </c>
      <c r="I223" s="1" t="s">
        <v>2195</v>
      </c>
      <c r="J223" s="1" t="s">
        <v>2208</v>
      </c>
      <c r="K223" s="108" t="str">
        <f>IF(AND($A223=Dashboard!$B$8,$C223='Calc Engine'!$B$5),$E223,"")</f>
        <v/>
      </c>
      <c r="L223" s="108">
        <f>IF(NOT(ISNUMBER(Dashboard!$B$11)),999,IF(OR(Dashboard!$B$11&lt;=0,$E223=""),999,ABS($E223-Dashboard!$B$11)))</f>
        <v>0.3640000000000001</v>
      </c>
      <c r="M223" s="108" t="str">
        <f>IF(NOT(ISNUMBER(Dashboard!$B$11)),"",IF(AND(Dashboard!$B$11&gt;0,$L223=MIN($L$2:$L$300)),"Closest overall reference",""))</f>
        <v/>
      </c>
      <c r="N223" s="108">
        <f>IF(NOT(ISNUMBER(Dashboard!$B$11)),999,IF(AND(Dashboard!$B$11&gt;0,$A223=Dashboard!$B$8,$E223&lt;&gt;""),ABS($E223-Dashboard!$B$11),999))</f>
        <v>999</v>
      </c>
      <c r="O223" s="108" t="str">
        <f>IF(NOT(ISNUMBER(Dashboard!$B$11)),"",IF(AND(Dashboard!$B$11&gt;0,$N223=MIN($N$2:$N$300)),"Closest same-material reference",""))</f>
        <v/>
      </c>
      <c r="P223" s="108" t="str">
        <f>IF(AND($A223=Dashboard!$B$8,$C223='Calc Engine'!$B$5,$E223&lt;&gt;""),$E223,"")</f>
        <v/>
      </c>
      <c r="Q223" s="108">
        <f>IF(NOT(ISNUMBER(Dashboard!$B$11)),-999,IF(AND($P223&lt;&gt;"",Dashboard!$B$11&gt;0,$P223&lt;=Dashboard!$B$11),$P223,-999))</f>
        <v>-999</v>
      </c>
      <c r="R223" s="108">
        <f>IF(NOT(ISNUMBER(Dashboard!$B$11)),999,IF(AND($P223&lt;&gt;"",Dashboard!$B$11&gt;0,$P223&gt;=Dashboard!$B$11),$P223,999))</f>
        <v>999</v>
      </c>
      <c r="S223" s="108" t="str">
        <f t="shared" si="3"/>
        <v/>
      </c>
    </row>
    <row r="224" spans="1:19" ht="41.1" customHeight="1">
      <c r="A224" s="1" t="s">
        <v>2145</v>
      </c>
      <c r="B224" s="1" t="s">
        <v>3012</v>
      </c>
      <c r="C224" s="1">
        <v>1600</v>
      </c>
      <c r="D224" s="1">
        <v>24.5</v>
      </c>
      <c r="E224" s="1">
        <v>1.0446666666666671</v>
      </c>
      <c r="F224" s="1" t="s">
        <v>3013</v>
      </c>
      <c r="G224" s="1" t="s">
        <v>3238</v>
      </c>
      <c r="H224" s="1" t="s">
        <v>2195</v>
      </c>
      <c r="I224" s="1" t="s">
        <v>2195</v>
      </c>
      <c r="J224" s="1" t="s">
        <v>2208</v>
      </c>
      <c r="K224" s="108" t="str">
        <f>IF(AND($A224=Dashboard!$B$8,$C224='Calc Engine'!$B$5),$E224,"")</f>
        <v/>
      </c>
      <c r="L224" s="108">
        <f>IF(NOT(ISNUMBER(Dashboard!$B$11)),999,IF(OR(Dashboard!$B$11&lt;=0,$E224=""),999,ABS($E224-Dashboard!$B$11)))</f>
        <v>0.30533333333333301</v>
      </c>
      <c r="M224" s="108" t="str">
        <f>IF(NOT(ISNUMBER(Dashboard!$B$11)),"",IF(AND(Dashboard!$B$11&gt;0,$L224=MIN($L$2:$L$300)),"Closest overall reference",""))</f>
        <v/>
      </c>
      <c r="N224" s="108">
        <f>IF(NOT(ISNUMBER(Dashboard!$B$11)),999,IF(AND(Dashboard!$B$11&gt;0,$A224=Dashboard!$B$8,$E224&lt;&gt;""),ABS($E224-Dashboard!$B$11),999))</f>
        <v>999</v>
      </c>
      <c r="O224" s="108" t="str">
        <f>IF(NOT(ISNUMBER(Dashboard!$B$11)),"",IF(AND(Dashboard!$B$11&gt;0,$N224=MIN($N$2:$N$300)),"Closest same-material reference",""))</f>
        <v/>
      </c>
      <c r="P224" s="108" t="str">
        <f>IF(AND($A224=Dashboard!$B$8,$C224='Calc Engine'!$B$5,$E224&lt;&gt;""),$E224,"")</f>
        <v/>
      </c>
      <c r="Q224" s="108">
        <f>IF(NOT(ISNUMBER(Dashboard!$B$11)),-999,IF(AND($P224&lt;&gt;"",Dashboard!$B$11&gt;0,$P224&lt;=Dashboard!$B$11),$P224,-999))</f>
        <v>-999</v>
      </c>
      <c r="R224" s="108">
        <f>IF(NOT(ISNUMBER(Dashboard!$B$11)),999,IF(AND($P224&lt;&gt;"",Dashboard!$B$11&gt;0,$P224&gt;=Dashboard!$B$11),$P224,999))</f>
        <v>999</v>
      </c>
      <c r="S224" s="108" t="str">
        <f t="shared" si="3"/>
        <v/>
      </c>
    </row>
    <row r="225" spans="1:19" ht="54.75" customHeight="1">
      <c r="A225" s="1" t="s">
        <v>2145</v>
      </c>
      <c r="B225" s="1" t="s">
        <v>3015</v>
      </c>
      <c r="C225" s="1">
        <v>1600</v>
      </c>
      <c r="D225" s="1">
        <v>18.899999999999999</v>
      </c>
      <c r="E225" s="1">
        <v>0.98599999999999999</v>
      </c>
      <c r="F225" s="1" t="s">
        <v>3016</v>
      </c>
      <c r="G225" s="1" t="s">
        <v>3239</v>
      </c>
      <c r="H225" s="1" t="s">
        <v>2195</v>
      </c>
      <c r="I225" s="1" t="s">
        <v>2195</v>
      </c>
      <c r="J225" s="1" t="s">
        <v>2208</v>
      </c>
      <c r="K225" s="108" t="str">
        <f>IF(AND($A225=Dashboard!$B$8,$C225='Calc Engine'!$B$5),$E225,"")</f>
        <v/>
      </c>
      <c r="L225" s="108">
        <f>IF(NOT(ISNUMBER(Dashboard!$B$11)),999,IF(OR(Dashboard!$B$11&lt;=0,$E225=""),999,ABS($E225-Dashboard!$B$11)))</f>
        <v>0.3640000000000001</v>
      </c>
      <c r="M225" s="108" t="str">
        <f>IF(NOT(ISNUMBER(Dashboard!$B$11)),"",IF(AND(Dashboard!$B$11&gt;0,$L225=MIN($L$2:$L$300)),"Closest overall reference",""))</f>
        <v/>
      </c>
      <c r="N225" s="108">
        <f>IF(NOT(ISNUMBER(Dashboard!$B$11)),999,IF(AND(Dashboard!$B$11&gt;0,$A225=Dashboard!$B$8,$E225&lt;&gt;""),ABS($E225-Dashboard!$B$11),999))</f>
        <v>999</v>
      </c>
      <c r="O225" s="108" t="str">
        <f>IF(NOT(ISNUMBER(Dashboard!$B$11)),"",IF(AND(Dashboard!$B$11&gt;0,$N225=MIN($N$2:$N$300)),"Closest same-material reference",""))</f>
        <v/>
      </c>
      <c r="P225" s="108" t="str">
        <f>IF(AND($A225=Dashboard!$B$8,$C225='Calc Engine'!$B$5,$E225&lt;&gt;""),$E225,"")</f>
        <v/>
      </c>
      <c r="Q225" s="108">
        <f>IF(NOT(ISNUMBER(Dashboard!$B$11)),-999,IF(AND($P225&lt;&gt;"",Dashboard!$B$11&gt;0,$P225&lt;=Dashboard!$B$11),$P225,-999))</f>
        <v>-999</v>
      </c>
      <c r="R225" s="108">
        <f>IF(NOT(ISNUMBER(Dashboard!$B$11)),999,IF(AND($P225&lt;&gt;"",Dashboard!$B$11&gt;0,$P225&gt;=Dashboard!$B$11),$P225,999))</f>
        <v>999</v>
      </c>
      <c r="S225" s="108" t="str">
        <f t="shared" si="3"/>
        <v/>
      </c>
    </row>
    <row r="226" spans="1:19" ht="27.4" customHeight="1">
      <c r="A226" s="1" t="s">
        <v>21</v>
      </c>
      <c r="B226" s="1" t="s">
        <v>2180</v>
      </c>
      <c r="C226" s="1">
        <v>80</v>
      </c>
      <c r="D226" s="1">
        <v>7.2</v>
      </c>
      <c r="E226" s="1">
        <v>1.2729999999999999</v>
      </c>
      <c r="F226" s="1" t="s">
        <v>3010</v>
      </c>
      <c r="G226" s="1" t="s">
        <v>3240</v>
      </c>
      <c r="H226" s="1" t="s">
        <v>2195</v>
      </c>
      <c r="I226" s="1" t="s">
        <v>2195</v>
      </c>
      <c r="J226" s="1" t="s">
        <v>2208</v>
      </c>
      <c r="K226" s="108" t="str">
        <f>IF(AND($A226=Dashboard!$B$8,$C226='Calc Engine'!$B$5),$E226,"")</f>
        <v/>
      </c>
      <c r="L226" s="108">
        <f>IF(NOT(ISNUMBER(Dashboard!$B$11)),999,IF(OR(Dashboard!$B$11&lt;=0,$E226=""),999,ABS($E226-Dashboard!$B$11)))</f>
        <v>7.7000000000000179E-2</v>
      </c>
      <c r="M226" s="108" t="str">
        <f>IF(NOT(ISNUMBER(Dashboard!$B$11)),"",IF(AND(Dashboard!$B$11&gt;0,$L226=MIN($L$2:$L$300)),"Closest overall reference",""))</f>
        <v/>
      </c>
      <c r="N226" s="108">
        <f>IF(NOT(ISNUMBER(Dashboard!$B$11)),999,IF(AND(Dashboard!$B$11&gt;0,$A226=Dashboard!$B$8,$E226&lt;&gt;""),ABS($E226-Dashboard!$B$11),999))</f>
        <v>7.7000000000000179E-2</v>
      </c>
      <c r="O226" s="108" t="str">
        <f>IF(NOT(ISNUMBER(Dashboard!$B$11)),"",IF(AND(Dashboard!$B$11&gt;0,$N226=MIN($N$2:$N$300)),"Closest same-material reference",""))</f>
        <v/>
      </c>
      <c r="P226" s="108" t="str">
        <f>IF(AND($A226=Dashboard!$B$8,$C226='Calc Engine'!$B$5,$E226&lt;&gt;""),$E226,"")</f>
        <v/>
      </c>
      <c r="Q226" s="108">
        <f>IF(NOT(ISNUMBER(Dashboard!$B$11)),-999,IF(AND($P226&lt;&gt;"",Dashboard!$B$11&gt;0,$P226&lt;=Dashboard!$B$11),$P226,-999))</f>
        <v>-999</v>
      </c>
      <c r="R226" s="108">
        <f>IF(NOT(ISNUMBER(Dashboard!$B$11)),999,IF(AND($P226&lt;&gt;"",Dashboard!$B$11&gt;0,$P226&gt;=Dashboard!$B$11),$P226,999))</f>
        <v>999</v>
      </c>
      <c r="S226" s="108" t="str">
        <f t="shared" si="3"/>
        <v/>
      </c>
    </row>
    <row r="227" spans="1:19" ht="27.4" customHeight="1">
      <c r="A227" s="1" t="s">
        <v>21</v>
      </c>
      <c r="B227" s="1" t="s">
        <v>2187</v>
      </c>
      <c r="C227" s="1">
        <v>80</v>
      </c>
      <c r="D227" s="1">
        <v>7.9</v>
      </c>
      <c r="E227" s="1">
        <v>1.284</v>
      </c>
      <c r="F227" s="1" t="s">
        <v>3010</v>
      </c>
      <c r="G227" s="1" t="s">
        <v>3241</v>
      </c>
      <c r="H227" s="1" t="s">
        <v>2195</v>
      </c>
      <c r="I227" s="1" t="s">
        <v>2195</v>
      </c>
      <c r="J227" s="1" t="s">
        <v>2208</v>
      </c>
      <c r="K227" s="108" t="str">
        <f>IF(AND($A227=Dashboard!$B$8,$C227='Calc Engine'!$B$5),$E227,"")</f>
        <v/>
      </c>
      <c r="L227" s="108">
        <f>IF(NOT(ISNUMBER(Dashboard!$B$11)),999,IF(OR(Dashboard!$B$11&lt;=0,$E227=""),999,ABS($E227-Dashboard!$B$11)))</f>
        <v>6.6000000000000059E-2</v>
      </c>
      <c r="M227" s="108" t="str">
        <f>IF(NOT(ISNUMBER(Dashboard!$B$11)),"",IF(AND(Dashboard!$B$11&gt;0,$L227=MIN($L$2:$L$300)),"Closest overall reference",""))</f>
        <v/>
      </c>
      <c r="N227" s="108">
        <f>IF(NOT(ISNUMBER(Dashboard!$B$11)),999,IF(AND(Dashboard!$B$11&gt;0,$A227=Dashboard!$B$8,$E227&lt;&gt;""),ABS($E227-Dashboard!$B$11),999))</f>
        <v>6.6000000000000059E-2</v>
      </c>
      <c r="O227" s="108" t="str">
        <f>IF(NOT(ISNUMBER(Dashboard!$B$11)),"",IF(AND(Dashboard!$B$11&gt;0,$N227=MIN($N$2:$N$300)),"Closest same-material reference",""))</f>
        <v/>
      </c>
      <c r="P227" s="108" t="str">
        <f>IF(AND($A227=Dashboard!$B$8,$C227='Calc Engine'!$B$5,$E227&lt;&gt;""),$E227,"")</f>
        <v/>
      </c>
      <c r="Q227" s="108">
        <f>IF(NOT(ISNUMBER(Dashboard!$B$11)),-999,IF(AND($P227&lt;&gt;"",Dashboard!$B$11&gt;0,$P227&lt;=Dashboard!$B$11),$P227,-999))</f>
        <v>-999</v>
      </c>
      <c r="R227" s="108">
        <f>IF(NOT(ISNUMBER(Dashboard!$B$11)),999,IF(AND($P227&lt;&gt;"",Dashboard!$B$11&gt;0,$P227&gt;=Dashboard!$B$11),$P227,999))</f>
        <v>999</v>
      </c>
      <c r="S227" s="108" t="str">
        <f t="shared" si="3"/>
        <v/>
      </c>
    </row>
    <row r="228" spans="1:19" ht="27.4" customHeight="1">
      <c r="A228" s="1" t="s">
        <v>21</v>
      </c>
      <c r="B228" s="1" t="s">
        <v>2193</v>
      </c>
      <c r="C228" s="1">
        <v>80</v>
      </c>
      <c r="D228" s="1">
        <v>8.6</v>
      </c>
      <c r="E228" s="1">
        <v>1.2929999999999999</v>
      </c>
      <c r="F228" s="1" t="s">
        <v>3010</v>
      </c>
      <c r="G228" s="1" t="s">
        <v>3242</v>
      </c>
      <c r="H228" s="1" t="s">
        <v>2195</v>
      </c>
      <c r="I228" s="1" t="s">
        <v>2195</v>
      </c>
      <c r="J228" s="1" t="s">
        <v>2208</v>
      </c>
      <c r="K228" s="108" t="str">
        <f>IF(AND($A228=Dashboard!$B$8,$C228='Calc Engine'!$B$5),$E228,"")</f>
        <v/>
      </c>
      <c r="L228" s="108">
        <f>IF(NOT(ISNUMBER(Dashboard!$B$11)),999,IF(OR(Dashboard!$B$11&lt;=0,$E228=""),999,ABS($E228-Dashboard!$B$11)))</f>
        <v>5.7000000000000162E-2</v>
      </c>
      <c r="M228" s="108" t="str">
        <f>IF(NOT(ISNUMBER(Dashboard!$B$11)),"",IF(AND(Dashboard!$B$11&gt;0,$L228=MIN($L$2:$L$300)),"Closest overall reference",""))</f>
        <v/>
      </c>
      <c r="N228" s="108">
        <f>IF(NOT(ISNUMBER(Dashboard!$B$11)),999,IF(AND(Dashboard!$B$11&gt;0,$A228=Dashboard!$B$8,$E228&lt;&gt;""),ABS($E228-Dashboard!$B$11),999))</f>
        <v>5.7000000000000162E-2</v>
      </c>
      <c r="O228" s="108" t="str">
        <f>IF(NOT(ISNUMBER(Dashboard!$B$11)),"",IF(AND(Dashboard!$B$11&gt;0,$N228=MIN($N$2:$N$300)),"Closest same-material reference",""))</f>
        <v/>
      </c>
      <c r="P228" s="108" t="str">
        <f>IF(AND($A228=Dashboard!$B$8,$C228='Calc Engine'!$B$5,$E228&lt;&gt;""),$E228,"")</f>
        <v/>
      </c>
      <c r="Q228" s="108">
        <f>IF(NOT(ISNUMBER(Dashboard!$B$11)),-999,IF(AND($P228&lt;&gt;"",Dashboard!$B$11&gt;0,$P228&lt;=Dashboard!$B$11),$P228,-999))</f>
        <v>-999</v>
      </c>
      <c r="R228" s="108">
        <f>IF(NOT(ISNUMBER(Dashboard!$B$11)),999,IF(AND($P228&lt;&gt;"",Dashboard!$B$11&gt;0,$P228&gt;=Dashboard!$B$11),$P228,999))</f>
        <v>999</v>
      </c>
      <c r="S228" s="108" t="str">
        <f t="shared" si="3"/>
        <v/>
      </c>
    </row>
    <row r="229" spans="1:19" ht="54.75" customHeight="1">
      <c r="A229" s="1" t="s">
        <v>21</v>
      </c>
      <c r="B229" s="1" t="s">
        <v>3243</v>
      </c>
      <c r="C229" s="1">
        <v>80</v>
      </c>
      <c r="D229" s="1">
        <v>10</v>
      </c>
      <c r="E229" s="1">
        <v>1.3080000000000001</v>
      </c>
      <c r="F229" s="1" t="s">
        <v>3010</v>
      </c>
      <c r="G229" s="1" t="s">
        <v>3244</v>
      </c>
      <c r="H229" s="1" t="s">
        <v>2195</v>
      </c>
      <c r="I229" s="1" t="s">
        <v>2195</v>
      </c>
      <c r="J229" s="1" t="s">
        <v>2208</v>
      </c>
      <c r="K229" s="108" t="str">
        <f>IF(AND($A229=Dashboard!$B$8,$C229='Calc Engine'!$B$5),$E229,"")</f>
        <v/>
      </c>
      <c r="L229" s="108">
        <f>IF(NOT(ISNUMBER(Dashboard!$B$11)),999,IF(OR(Dashboard!$B$11&lt;=0,$E229=""),999,ABS($E229-Dashboard!$B$11)))</f>
        <v>4.2000000000000037E-2</v>
      </c>
      <c r="M229" s="108" t="str">
        <f>IF(NOT(ISNUMBER(Dashboard!$B$11)),"",IF(AND(Dashboard!$B$11&gt;0,$L229=MIN($L$2:$L$300)),"Closest overall reference",""))</f>
        <v/>
      </c>
      <c r="N229" s="108">
        <f>IF(NOT(ISNUMBER(Dashboard!$B$11)),999,IF(AND(Dashboard!$B$11&gt;0,$A229=Dashboard!$B$8,$E229&lt;&gt;""),ABS($E229-Dashboard!$B$11),999))</f>
        <v>4.2000000000000037E-2</v>
      </c>
      <c r="O229" s="108" t="str">
        <f>IF(NOT(ISNUMBER(Dashboard!$B$11)),"",IF(AND(Dashboard!$B$11&gt;0,$N229=MIN($N$2:$N$300)),"Closest same-material reference",""))</f>
        <v>Closest same-material reference</v>
      </c>
      <c r="P229" s="108" t="str">
        <f>IF(AND($A229=Dashboard!$B$8,$C229='Calc Engine'!$B$5,$E229&lt;&gt;""),$E229,"")</f>
        <v/>
      </c>
      <c r="Q229" s="108">
        <f>IF(NOT(ISNUMBER(Dashboard!$B$11)),-999,IF(AND($P229&lt;&gt;"",Dashboard!$B$11&gt;0,$P229&lt;=Dashboard!$B$11),$P229,-999))</f>
        <v>-999</v>
      </c>
      <c r="R229" s="108">
        <f>IF(NOT(ISNUMBER(Dashboard!$B$11)),999,IF(AND($P229&lt;&gt;"",Dashboard!$B$11&gt;0,$P229&gt;=Dashboard!$B$11),$P229,999))</f>
        <v>999</v>
      </c>
      <c r="S229" s="108" t="str">
        <f t="shared" si="3"/>
        <v/>
      </c>
    </row>
    <row r="230" spans="1:19" ht="41.1" customHeight="1">
      <c r="A230" s="1" t="s">
        <v>21</v>
      </c>
      <c r="B230" s="1" t="s">
        <v>3012</v>
      </c>
      <c r="C230" s="1">
        <v>80</v>
      </c>
      <c r="D230" s="1">
        <v>8.4250000000000007</v>
      </c>
      <c r="E230" s="1">
        <v>1.2895000000000001</v>
      </c>
      <c r="F230" s="1" t="s">
        <v>3013</v>
      </c>
      <c r="G230" s="1" t="s">
        <v>3245</v>
      </c>
      <c r="H230" s="1" t="s">
        <v>2195</v>
      </c>
      <c r="I230" s="1" t="s">
        <v>2195</v>
      </c>
      <c r="J230" s="1" t="s">
        <v>2208</v>
      </c>
      <c r="K230" s="108" t="str">
        <f>IF(AND($A230=Dashboard!$B$8,$C230='Calc Engine'!$B$5),$E230,"")</f>
        <v/>
      </c>
      <c r="L230" s="108">
        <f>IF(NOT(ISNUMBER(Dashboard!$B$11)),999,IF(OR(Dashboard!$B$11&lt;=0,$E230=""),999,ABS($E230-Dashboard!$B$11)))</f>
        <v>6.0499999999999998E-2</v>
      </c>
      <c r="M230" s="108" t="str">
        <f>IF(NOT(ISNUMBER(Dashboard!$B$11)),"",IF(AND(Dashboard!$B$11&gt;0,$L230=MIN($L$2:$L$300)),"Closest overall reference",""))</f>
        <v/>
      </c>
      <c r="N230" s="108">
        <f>IF(NOT(ISNUMBER(Dashboard!$B$11)),999,IF(AND(Dashboard!$B$11&gt;0,$A230=Dashboard!$B$8,$E230&lt;&gt;""),ABS($E230-Dashboard!$B$11),999))</f>
        <v>6.0499999999999998E-2</v>
      </c>
      <c r="O230" s="108" t="str">
        <f>IF(NOT(ISNUMBER(Dashboard!$B$11)),"",IF(AND(Dashboard!$B$11&gt;0,$N230=MIN($N$2:$N$300)),"Closest same-material reference",""))</f>
        <v/>
      </c>
      <c r="P230" s="108" t="str">
        <f>IF(AND($A230=Dashboard!$B$8,$C230='Calc Engine'!$B$5,$E230&lt;&gt;""),$E230,"")</f>
        <v/>
      </c>
      <c r="Q230" s="108">
        <f>IF(NOT(ISNUMBER(Dashboard!$B$11)),-999,IF(AND($P230&lt;&gt;"",Dashboard!$B$11&gt;0,$P230&lt;=Dashboard!$B$11),$P230,-999))</f>
        <v>-999</v>
      </c>
      <c r="R230" s="108">
        <f>IF(NOT(ISNUMBER(Dashboard!$B$11)),999,IF(AND($P230&lt;&gt;"",Dashboard!$B$11&gt;0,$P230&gt;=Dashboard!$B$11),$P230,999))</f>
        <v>999</v>
      </c>
      <c r="S230" s="108" t="str">
        <f t="shared" si="3"/>
        <v/>
      </c>
    </row>
    <row r="231" spans="1:19" ht="54.75" customHeight="1">
      <c r="A231" s="1" t="s">
        <v>21</v>
      </c>
      <c r="B231" s="1" t="s">
        <v>3015</v>
      </c>
      <c r="C231" s="1">
        <v>80</v>
      </c>
      <c r="D231" s="1">
        <v>7.2</v>
      </c>
      <c r="E231" s="1">
        <v>1.2729999999999999</v>
      </c>
      <c r="F231" s="1" t="s">
        <v>3016</v>
      </c>
      <c r="G231" s="1" t="s">
        <v>3246</v>
      </c>
      <c r="H231" s="1" t="s">
        <v>2195</v>
      </c>
      <c r="I231" s="1" t="s">
        <v>2195</v>
      </c>
      <c r="J231" s="1" t="s">
        <v>2208</v>
      </c>
      <c r="K231" s="108" t="str">
        <f>IF(AND($A231=Dashboard!$B$8,$C231='Calc Engine'!$B$5),$E231,"")</f>
        <v/>
      </c>
      <c r="L231" s="108">
        <f>IF(NOT(ISNUMBER(Dashboard!$B$11)),999,IF(OR(Dashboard!$B$11&lt;=0,$E231=""),999,ABS($E231-Dashboard!$B$11)))</f>
        <v>7.7000000000000179E-2</v>
      </c>
      <c r="M231" s="108" t="str">
        <f>IF(NOT(ISNUMBER(Dashboard!$B$11)),"",IF(AND(Dashboard!$B$11&gt;0,$L231=MIN($L$2:$L$300)),"Closest overall reference",""))</f>
        <v/>
      </c>
      <c r="N231" s="108">
        <f>IF(NOT(ISNUMBER(Dashboard!$B$11)),999,IF(AND(Dashboard!$B$11&gt;0,$A231=Dashboard!$B$8,$E231&lt;&gt;""),ABS($E231-Dashboard!$B$11),999))</f>
        <v>7.7000000000000179E-2</v>
      </c>
      <c r="O231" s="108" t="str">
        <f>IF(NOT(ISNUMBER(Dashboard!$B$11)),"",IF(AND(Dashboard!$B$11&gt;0,$N231=MIN($N$2:$N$300)),"Closest same-material reference",""))</f>
        <v/>
      </c>
      <c r="P231" s="108" t="str">
        <f>IF(AND($A231=Dashboard!$B$8,$C231='Calc Engine'!$B$5,$E231&lt;&gt;""),$E231,"")</f>
        <v/>
      </c>
      <c r="Q231" s="108">
        <f>IF(NOT(ISNUMBER(Dashboard!$B$11)),-999,IF(AND($P231&lt;&gt;"",Dashboard!$B$11&gt;0,$P231&lt;=Dashboard!$B$11),$P231,-999))</f>
        <v>-999</v>
      </c>
      <c r="R231" s="108">
        <f>IF(NOT(ISNUMBER(Dashboard!$B$11)),999,IF(AND($P231&lt;&gt;"",Dashboard!$B$11&gt;0,$P231&gt;=Dashboard!$B$11),$P231,999))</f>
        <v>999</v>
      </c>
      <c r="S231" s="108" t="str">
        <f t="shared" si="3"/>
        <v/>
      </c>
    </row>
    <row r="232" spans="1:19" ht="27.4" customHeight="1">
      <c r="A232" s="1" t="s">
        <v>21</v>
      </c>
      <c r="B232" s="1" t="s">
        <v>2180</v>
      </c>
      <c r="C232" s="1">
        <v>100</v>
      </c>
      <c r="D232" s="1">
        <v>7.5</v>
      </c>
      <c r="E232" s="1">
        <v>1.25</v>
      </c>
      <c r="F232" s="1" t="s">
        <v>3010</v>
      </c>
      <c r="G232" s="1" t="s">
        <v>3247</v>
      </c>
      <c r="H232" s="1" t="s">
        <v>2195</v>
      </c>
      <c r="I232" s="1" t="s">
        <v>2195</v>
      </c>
      <c r="J232" s="1" t="s">
        <v>2208</v>
      </c>
      <c r="K232" s="108" t="str">
        <f>IF(AND($A232=Dashboard!$B$8,$C232='Calc Engine'!$B$5),$E232,"")</f>
        <v/>
      </c>
      <c r="L232" s="108">
        <f>IF(NOT(ISNUMBER(Dashboard!$B$11)),999,IF(OR(Dashboard!$B$11&lt;=0,$E232=""),999,ABS($E232-Dashboard!$B$11)))</f>
        <v>0.10000000000000009</v>
      </c>
      <c r="M232" s="108" t="str">
        <f>IF(NOT(ISNUMBER(Dashboard!$B$11)),"",IF(AND(Dashboard!$B$11&gt;0,$L232=MIN($L$2:$L$300)),"Closest overall reference",""))</f>
        <v/>
      </c>
      <c r="N232" s="108">
        <f>IF(NOT(ISNUMBER(Dashboard!$B$11)),999,IF(AND(Dashboard!$B$11&gt;0,$A232=Dashboard!$B$8,$E232&lt;&gt;""),ABS($E232-Dashboard!$B$11),999))</f>
        <v>0.10000000000000009</v>
      </c>
      <c r="O232" s="108" t="str">
        <f>IF(NOT(ISNUMBER(Dashboard!$B$11)),"",IF(AND(Dashboard!$B$11&gt;0,$N232=MIN($N$2:$N$300)),"Closest same-material reference",""))</f>
        <v/>
      </c>
      <c r="P232" s="108" t="str">
        <f>IF(AND($A232=Dashboard!$B$8,$C232='Calc Engine'!$B$5,$E232&lt;&gt;""),$E232,"")</f>
        <v/>
      </c>
      <c r="Q232" s="108">
        <f>IF(NOT(ISNUMBER(Dashboard!$B$11)),-999,IF(AND($P232&lt;&gt;"",Dashboard!$B$11&gt;0,$P232&lt;=Dashboard!$B$11),$P232,-999))</f>
        <v>-999</v>
      </c>
      <c r="R232" s="108">
        <f>IF(NOT(ISNUMBER(Dashboard!$B$11)),999,IF(AND($P232&lt;&gt;"",Dashboard!$B$11&gt;0,$P232&gt;=Dashboard!$B$11),$P232,999))</f>
        <v>999</v>
      </c>
      <c r="S232" s="108" t="str">
        <f t="shared" si="3"/>
        <v/>
      </c>
    </row>
    <row r="233" spans="1:19" ht="27.4" customHeight="1">
      <c r="A233" s="1" t="s">
        <v>21</v>
      </c>
      <c r="B233" s="1" t="s">
        <v>2187</v>
      </c>
      <c r="C233" s="1">
        <v>100</v>
      </c>
      <c r="D233" s="1">
        <v>8.3000000000000007</v>
      </c>
      <c r="E233" s="1">
        <v>1.264</v>
      </c>
      <c r="F233" s="1" t="s">
        <v>3010</v>
      </c>
      <c r="G233" s="1" t="s">
        <v>3248</v>
      </c>
      <c r="H233" s="1" t="s">
        <v>2195</v>
      </c>
      <c r="I233" s="1" t="s">
        <v>2195</v>
      </c>
      <c r="J233" s="1" t="s">
        <v>2208</v>
      </c>
      <c r="K233" s="108" t="str">
        <f>IF(AND($A233=Dashboard!$B$8,$C233='Calc Engine'!$B$5),$E233,"")</f>
        <v/>
      </c>
      <c r="L233" s="108">
        <f>IF(NOT(ISNUMBER(Dashboard!$B$11)),999,IF(OR(Dashboard!$B$11&lt;=0,$E233=""),999,ABS($E233-Dashboard!$B$11)))</f>
        <v>8.6000000000000076E-2</v>
      </c>
      <c r="M233" s="108" t="str">
        <f>IF(NOT(ISNUMBER(Dashboard!$B$11)),"",IF(AND(Dashboard!$B$11&gt;0,$L233=MIN($L$2:$L$300)),"Closest overall reference",""))</f>
        <v/>
      </c>
      <c r="N233" s="108">
        <f>IF(NOT(ISNUMBER(Dashboard!$B$11)),999,IF(AND(Dashboard!$B$11&gt;0,$A233=Dashboard!$B$8,$E233&lt;&gt;""),ABS($E233-Dashboard!$B$11),999))</f>
        <v>8.6000000000000076E-2</v>
      </c>
      <c r="O233" s="108" t="str">
        <f>IF(NOT(ISNUMBER(Dashboard!$B$11)),"",IF(AND(Dashboard!$B$11&gt;0,$N233=MIN($N$2:$N$300)),"Closest same-material reference",""))</f>
        <v/>
      </c>
      <c r="P233" s="108" t="str">
        <f>IF(AND($A233=Dashboard!$B$8,$C233='Calc Engine'!$B$5,$E233&lt;&gt;""),$E233,"")</f>
        <v/>
      </c>
      <c r="Q233" s="108">
        <f>IF(NOT(ISNUMBER(Dashboard!$B$11)),-999,IF(AND($P233&lt;&gt;"",Dashboard!$B$11&gt;0,$P233&lt;=Dashboard!$B$11),$P233,-999))</f>
        <v>-999</v>
      </c>
      <c r="R233" s="108">
        <f>IF(NOT(ISNUMBER(Dashboard!$B$11)),999,IF(AND($P233&lt;&gt;"",Dashboard!$B$11&gt;0,$P233&gt;=Dashboard!$B$11),$P233,999))</f>
        <v>999</v>
      </c>
      <c r="S233" s="108" t="str">
        <f t="shared" si="3"/>
        <v/>
      </c>
    </row>
    <row r="234" spans="1:19" ht="27.4" customHeight="1">
      <c r="A234" s="1" t="s">
        <v>21</v>
      </c>
      <c r="B234" s="1" t="s">
        <v>2193</v>
      </c>
      <c r="C234" s="1">
        <v>100</v>
      </c>
      <c r="D234" s="1">
        <v>9</v>
      </c>
      <c r="E234" s="1">
        <v>1.2729999999999999</v>
      </c>
      <c r="F234" s="1" t="s">
        <v>3010</v>
      </c>
      <c r="G234" s="1" t="s">
        <v>3249</v>
      </c>
      <c r="H234" s="1" t="s">
        <v>2195</v>
      </c>
      <c r="I234" s="1" t="s">
        <v>2195</v>
      </c>
      <c r="J234" s="1" t="s">
        <v>2208</v>
      </c>
      <c r="K234" s="108" t="str">
        <f>IF(AND($A234=Dashboard!$B$8,$C234='Calc Engine'!$B$5),$E234,"")</f>
        <v/>
      </c>
      <c r="L234" s="108">
        <f>IF(NOT(ISNUMBER(Dashboard!$B$11)),999,IF(OR(Dashboard!$B$11&lt;=0,$E234=""),999,ABS($E234-Dashboard!$B$11)))</f>
        <v>7.7000000000000179E-2</v>
      </c>
      <c r="M234" s="108" t="str">
        <f>IF(NOT(ISNUMBER(Dashboard!$B$11)),"",IF(AND(Dashboard!$B$11&gt;0,$L234=MIN($L$2:$L$300)),"Closest overall reference",""))</f>
        <v/>
      </c>
      <c r="N234" s="108">
        <f>IF(NOT(ISNUMBER(Dashboard!$B$11)),999,IF(AND(Dashboard!$B$11&gt;0,$A234=Dashboard!$B$8,$E234&lt;&gt;""),ABS($E234-Dashboard!$B$11),999))</f>
        <v>7.7000000000000179E-2</v>
      </c>
      <c r="O234" s="108" t="str">
        <f>IF(NOT(ISNUMBER(Dashboard!$B$11)),"",IF(AND(Dashboard!$B$11&gt;0,$N234=MIN($N$2:$N$300)),"Closest same-material reference",""))</f>
        <v/>
      </c>
      <c r="P234" s="108" t="str">
        <f>IF(AND($A234=Dashboard!$B$8,$C234='Calc Engine'!$B$5,$E234&lt;&gt;""),$E234,"")</f>
        <v/>
      </c>
      <c r="Q234" s="108">
        <f>IF(NOT(ISNUMBER(Dashboard!$B$11)),-999,IF(AND($P234&lt;&gt;"",Dashboard!$B$11&gt;0,$P234&lt;=Dashboard!$B$11),$P234,-999))</f>
        <v>-999</v>
      </c>
      <c r="R234" s="108">
        <f>IF(NOT(ISNUMBER(Dashboard!$B$11)),999,IF(AND($P234&lt;&gt;"",Dashboard!$B$11&gt;0,$P234&gt;=Dashboard!$B$11),$P234,999))</f>
        <v>999</v>
      </c>
      <c r="S234" s="108" t="str">
        <f t="shared" si="3"/>
        <v/>
      </c>
    </row>
    <row r="235" spans="1:19" ht="27.4" customHeight="1">
      <c r="A235" s="1" t="s">
        <v>21</v>
      </c>
      <c r="B235" s="1" t="s">
        <v>3243</v>
      </c>
      <c r="C235" s="1">
        <v>100</v>
      </c>
      <c r="D235" s="1">
        <v>10.5</v>
      </c>
      <c r="E235" s="1">
        <v>1.2909999999999999</v>
      </c>
      <c r="F235" s="1" t="s">
        <v>3010</v>
      </c>
      <c r="G235" s="1" t="s">
        <v>3250</v>
      </c>
      <c r="H235" s="1" t="s">
        <v>2195</v>
      </c>
      <c r="I235" s="1" t="s">
        <v>2195</v>
      </c>
      <c r="J235" s="1" t="s">
        <v>2208</v>
      </c>
      <c r="K235" s="108" t="str">
        <f>IF(AND($A235=Dashboard!$B$8,$C235='Calc Engine'!$B$5),$E235,"")</f>
        <v/>
      </c>
      <c r="L235" s="108">
        <f>IF(NOT(ISNUMBER(Dashboard!$B$11)),999,IF(OR(Dashboard!$B$11&lt;=0,$E235=""),999,ABS($E235-Dashboard!$B$11)))</f>
        <v>5.9000000000000163E-2</v>
      </c>
      <c r="M235" s="108" t="str">
        <f>IF(NOT(ISNUMBER(Dashboard!$B$11)),"",IF(AND(Dashboard!$B$11&gt;0,$L235=MIN($L$2:$L$300)),"Closest overall reference",""))</f>
        <v/>
      </c>
      <c r="N235" s="108">
        <f>IF(NOT(ISNUMBER(Dashboard!$B$11)),999,IF(AND(Dashboard!$B$11&gt;0,$A235=Dashboard!$B$8,$E235&lt;&gt;""),ABS($E235-Dashboard!$B$11),999))</f>
        <v>5.9000000000000163E-2</v>
      </c>
      <c r="O235" s="108" t="str">
        <f>IF(NOT(ISNUMBER(Dashboard!$B$11)),"",IF(AND(Dashboard!$B$11&gt;0,$N235=MIN($N$2:$N$300)),"Closest same-material reference",""))</f>
        <v/>
      </c>
      <c r="P235" s="108" t="str">
        <f>IF(AND($A235=Dashboard!$B$8,$C235='Calc Engine'!$B$5,$E235&lt;&gt;""),$E235,"")</f>
        <v/>
      </c>
      <c r="Q235" s="108">
        <f>IF(NOT(ISNUMBER(Dashboard!$B$11)),-999,IF(AND($P235&lt;&gt;"",Dashboard!$B$11&gt;0,$P235&lt;=Dashboard!$B$11),$P235,-999))</f>
        <v>-999</v>
      </c>
      <c r="R235" s="108">
        <f>IF(NOT(ISNUMBER(Dashboard!$B$11)),999,IF(AND($P235&lt;&gt;"",Dashboard!$B$11&gt;0,$P235&gt;=Dashboard!$B$11),$P235,999))</f>
        <v>999</v>
      </c>
      <c r="S235" s="108" t="str">
        <f t="shared" si="3"/>
        <v/>
      </c>
    </row>
    <row r="236" spans="1:19" ht="41.1" customHeight="1">
      <c r="A236" s="1" t="s">
        <v>21</v>
      </c>
      <c r="B236" s="1" t="s">
        <v>3012</v>
      </c>
      <c r="C236" s="1">
        <v>100</v>
      </c>
      <c r="D236" s="1">
        <v>8.8249999999999993</v>
      </c>
      <c r="E236" s="1">
        <v>1.2695000000000001</v>
      </c>
      <c r="F236" s="1" t="s">
        <v>3013</v>
      </c>
      <c r="G236" s="1" t="s">
        <v>3251</v>
      </c>
      <c r="H236" s="1" t="s">
        <v>2195</v>
      </c>
      <c r="I236" s="1" t="s">
        <v>2195</v>
      </c>
      <c r="J236" s="1" t="s">
        <v>2208</v>
      </c>
      <c r="K236" s="108" t="str">
        <f>IF(AND($A236=Dashboard!$B$8,$C236='Calc Engine'!$B$5),$E236,"")</f>
        <v/>
      </c>
      <c r="L236" s="108">
        <f>IF(NOT(ISNUMBER(Dashboard!$B$11)),999,IF(OR(Dashboard!$B$11&lt;=0,$E236=""),999,ABS($E236-Dashboard!$B$11)))</f>
        <v>8.0500000000000016E-2</v>
      </c>
      <c r="M236" s="108" t="str">
        <f>IF(NOT(ISNUMBER(Dashboard!$B$11)),"",IF(AND(Dashboard!$B$11&gt;0,$L236=MIN($L$2:$L$300)),"Closest overall reference",""))</f>
        <v/>
      </c>
      <c r="N236" s="108">
        <f>IF(NOT(ISNUMBER(Dashboard!$B$11)),999,IF(AND(Dashboard!$B$11&gt;0,$A236=Dashboard!$B$8,$E236&lt;&gt;""),ABS($E236-Dashboard!$B$11),999))</f>
        <v>8.0500000000000016E-2</v>
      </c>
      <c r="O236" s="108" t="str">
        <f>IF(NOT(ISNUMBER(Dashboard!$B$11)),"",IF(AND(Dashboard!$B$11&gt;0,$N236=MIN($N$2:$N$300)),"Closest same-material reference",""))</f>
        <v/>
      </c>
      <c r="P236" s="108" t="str">
        <f>IF(AND($A236=Dashboard!$B$8,$C236='Calc Engine'!$B$5,$E236&lt;&gt;""),$E236,"")</f>
        <v/>
      </c>
      <c r="Q236" s="108">
        <f>IF(NOT(ISNUMBER(Dashboard!$B$11)),-999,IF(AND($P236&lt;&gt;"",Dashboard!$B$11&gt;0,$P236&lt;=Dashboard!$B$11),$P236,-999))</f>
        <v>-999</v>
      </c>
      <c r="R236" s="108">
        <f>IF(NOT(ISNUMBER(Dashboard!$B$11)),999,IF(AND($P236&lt;&gt;"",Dashboard!$B$11&gt;0,$P236&gt;=Dashboard!$B$11),$P236,999))</f>
        <v>999</v>
      </c>
      <c r="S236" s="108" t="str">
        <f t="shared" si="3"/>
        <v/>
      </c>
    </row>
    <row r="237" spans="1:19" ht="54.75" customHeight="1">
      <c r="A237" s="1" t="s">
        <v>21</v>
      </c>
      <c r="B237" s="1" t="s">
        <v>3015</v>
      </c>
      <c r="C237" s="1">
        <v>100</v>
      </c>
      <c r="D237" s="1">
        <v>7.5</v>
      </c>
      <c r="E237" s="1">
        <v>1.25</v>
      </c>
      <c r="F237" s="1" t="s">
        <v>3016</v>
      </c>
      <c r="G237" s="1" t="s">
        <v>3252</v>
      </c>
      <c r="H237" s="1" t="s">
        <v>2195</v>
      </c>
      <c r="I237" s="1" t="s">
        <v>2195</v>
      </c>
      <c r="J237" s="1" t="s">
        <v>2208</v>
      </c>
      <c r="K237" s="108" t="str">
        <f>IF(AND($A237=Dashboard!$B$8,$C237='Calc Engine'!$B$5),$E237,"")</f>
        <v/>
      </c>
      <c r="L237" s="108">
        <f>IF(NOT(ISNUMBER(Dashboard!$B$11)),999,IF(OR(Dashboard!$B$11&lt;=0,$E237=""),999,ABS($E237-Dashboard!$B$11)))</f>
        <v>0.10000000000000009</v>
      </c>
      <c r="M237" s="108" t="str">
        <f>IF(NOT(ISNUMBER(Dashboard!$B$11)),"",IF(AND(Dashboard!$B$11&gt;0,$L237=MIN($L$2:$L$300)),"Closest overall reference",""))</f>
        <v/>
      </c>
      <c r="N237" s="108">
        <f>IF(NOT(ISNUMBER(Dashboard!$B$11)),999,IF(AND(Dashboard!$B$11&gt;0,$A237=Dashboard!$B$8,$E237&lt;&gt;""),ABS($E237-Dashboard!$B$11),999))</f>
        <v>0.10000000000000009</v>
      </c>
      <c r="O237" s="108" t="str">
        <f>IF(NOT(ISNUMBER(Dashboard!$B$11)),"",IF(AND(Dashboard!$B$11&gt;0,$N237=MIN($N$2:$N$300)),"Closest same-material reference",""))</f>
        <v/>
      </c>
      <c r="P237" s="108" t="str">
        <f>IF(AND($A237=Dashboard!$B$8,$C237='Calc Engine'!$B$5,$E237&lt;&gt;""),$E237,"")</f>
        <v/>
      </c>
      <c r="Q237" s="108">
        <f>IF(NOT(ISNUMBER(Dashboard!$B$11)),-999,IF(AND($P237&lt;&gt;"",Dashboard!$B$11&gt;0,$P237&lt;=Dashboard!$B$11),$P237,-999))</f>
        <v>-999</v>
      </c>
      <c r="R237" s="108">
        <f>IF(NOT(ISNUMBER(Dashboard!$B$11)),999,IF(AND($P237&lt;&gt;"",Dashboard!$B$11&gt;0,$P237&gt;=Dashboard!$B$11),$P237,999))</f>
        <v>999</v>
      </c>
      <c r="S237" s="108" t="str">
        <f t="shared" si="3"/>
        <v/>
      </c>
    </row>
    <row r="238" spans="1:19" ht="27.4" customHeight="1">
      <c r="A238" s="1" t="s">
        <v>21</v>
      </c>
      <c r="B238" s="1" t="s">
        <v>2180</v>
      </c>
      <c r="C238" s="1">
        <v>150</v>
      </c>
      <c r="D238" s="1">
        <v>8.3000000000000007</v>
      </c>
      <c r="E238" s="1">
        <v>1.2050000000000001</v>
      </c>
      <c r="F238" s="1" t="s">
        <v>3010</v>
      </c>
      <c r="G238" s="1" t="s">
        <v>3253</v>
      </c>
      <c r="H238" s="1" t="s">
        <v>2195</v>
      </c>
      <c r="I238" s="1" t="s">
        <v>2195</v>
      </c>
      <c r="J238" s="1" t="s">
        <v>2208</v>
      </c>
      <c r="K238" s="108" t="str">
        <f>IF(AND($A238=Dashboard!$B$8,$C238='Calc Engine'!$B$5),$E238,"")</f>
        <v/>
      </c>
      <c r="L238" s="108">
        <f>IF(NOT(ISNUMBER(Dashboard!$B$11)),999,IF(OR(Dashboard!$B$11&lt;=0,$E238=""),999,ABS($E238-Dashboard!$B$11)))</f>
        <v>0.14500000000000002</v>
      </c>
      <c r="M238" s="108" t="str">
        <f>IF(NOT(ISNUMBER(Dashboard!$B$11)),"",IF(AND(Dashboard!$B$11&gt;0,$L238=MIN($L$2:$L$300)),"Closest overall reference",""))</f>
        <v/>
      </c>
      <c r="N238" s="108">
        <f>IF(NOT(ISNUMBER(Dashboard!$B$11)),999,IF(AND(Dashboard!$B$11&gt;0,$A238=Dashboard!$B$8,$E238&lt;&gt;""),ABS($E238-Dashboard!$B$11),999))</f>
        <v>0.14500000000000002</v>
      </c>
      <c r="O238" s="108" t="str">
        <f>IF(NOT(ISNUMBER(Dashboard!$B$11)),"",IF(AND(Dashboard!$B$11&gt;0,$N238=MIN($N$2:$N$300)),"Closest same-material reference",""))</f>
        <v/>
      </c>
      <c r="P238" s="108" t="str">
        <f>IF(AND($A238=Dashboard!$B$8,$C238='Calc Engine'!$B$5,$E238&lt;&gt;""),$E238,"")</f>
        <v/>
      </c>
      <c r="Q238" s="108">
        <f>IF(NOT(ISNUMBER(Dashboard!$B$11)),-999,IF(AND($P238&lt;&gt;"",Dashboard!$B$11&gt;0,$P238&lt;=Dashboard!$B$11),$P238,-999))</f>
        <v>-999</v>
      </c>
      <c r="R238" s="108">
        <f>IF(NOT(ISNUMBER(Dashboard!$B$11)),999,IF(AND($P238&lt;&gt;"",Dashboard!$B$11&gt;0,$P238&gt;=Dashboard!$B$11),$P238,999))</f>
        <v>999</v>
      </c>
      <c r="S238" s="108" t="str">
        <f t="shared" si="3"/>
        <v/>
      </c>
    </row>
    <row r="239" spans="1:19" ht="27.4" customHeight="1">
      <c r="A239" s="1" t="s">
        <v>21</v>
      </c>
      <c r="B239" s="1" t="s">
        <v>2187</v>
      </c>
      <c r="C239" s="1">
        <v>150</v>
      </c>
      <c r="D239" s="1">
        <v>9.1999999999999993</v>
      </c>
      <c r="E239" s="1">
        <v>1.2210000000000001</v>
      </c>
      <c r="F239" s="1" t="s">
        <v>3010</v>
      </c>
      <c r="G239" s="1" t="s">
        <v>3254</v>
      </c>
      <c r="H239" s="1" t="s">
        <v>2195</v>
      </c>
      <c r="I239" s="1" t="s">
        <v>2195</v>
      </c>
      <c r="J239" s="1" t="s">
        <v>2208</v>
      </c>
      <c r="K239" s="108" t="str">
        <f>IF(AND($A239=Dashboard!$B$8,$C239='Calc Engine'!$B$5),$E239,"")</f>
        <v/>
      </c>
      <c r="L239" s="108">
        <f>IF(NOT(ISNUMBER(Dashboard!$B$11)),999,IF(OR(Dashboard!$B$11&lt;=0,$E239=""),999,ABS($E239-Dashboard!$B$11)))</f>
        <v>0.129</v>
      </c>
      <c r="M239" s="108" t="str">
        <f>IF(NOT(ISNUMBER(Dashboard!$B$11)),"",IF(AND(Dashboard!$B$11&gt;0,$L239=MIN($L$2:$L$300)),"Closest overall reference",""))</f>
        <v/>
      </c>
      <c r="N239" s="108">
        <f>IF(NOT(ISNUMBER(Dashboard!$B$11)),999,IF(AND(Dashboard!$B$11&gt;0,$A239=Dashboard!$B$8,$E239&lt;&gt;""),ABS($E239-Dashboard!$B$11),999))</f>
        <v>0.129</v>
      </c>
      <c r="O239" s="108" t="str">
        <f>IF(NOT(ISNUMBER(Dashboard!$B$11)),"",IF(AND(Dashboard!$B$11&gt;0,$N239=MIN($N$2:$N$300)),"Closest same-material reference",""))</f>
        <v/>
      </c>
      <c r="P239" s="108" t="str">
        <f>IF(AND($A239=Dashboard!$B$8,$C239='Calc Engine'!$B$5,$E239&lt;&gt;""),$E239,"")</f>
        <v/>
      </c>
      <c r="Q239" s="108">
        <f>IF(NOT(ISNUMBER(Dashboard!$B$11)),-999,IF(AND($P239&lt;&gt;"",Dashboard!$B$11&gt;0,$P239&lt;=Dashboard!$B$11),$P239,-999))</f>
        <v>-999</v>
      </c>
      <c r="R239" s="108">
        <f>IF(NOT(ISNUMBER(Dashboard!$B$11)),999,IF(AND($P239&lt;&gt;"",Dashboard!$B$11&gt;0,$P239&gt;=Dashboard!$B$11),$P239,999))</f>
        <v>999</v>
      </c>
      <c r="S239" s="108" t="str">
        <f t="shared" si="3"/>
        <v/>
      </c>
    </row>
    <row r="240" spans="1:19" ht="27.4" customHeight="1">
      <c r="A240" s="1" t="s">
        <v>21</v>
      </c>
      <c r="B240" s="1" t="s">
        <v>2193</v>
      </c>
      <c r="C240" s="1">
        <v>150</v>
      </c>
      <c r="D240" s="1">
        <v>10</v>
      </c>
      <c r="E240" s="1">
        <v>1.234</v>
      </c>
      <c r="F240" s="1" t="s">
        <v>3010</v>
      </c>
      <c r="G240" s="1" t="s">
        <v>3255</v>
      </c>
      <c r="H240" s="1" t="s">
        <v>2195</v>
      </c>
      <c r="I240" s="1" t="s">
        <v>2195</v>
      </c>
      <c r="J240" s="1" t="s">
        <v>2208</v>
      </c>
      <c r="K240" s="108" t="str">
        <f>IF(AND($A240=Dashboard!$B$8,$C240='Calc Engine'!$B$5),$E240,"")</f>
        <v/>
      </c>
      <c r="L240" s="108">
        <f>IF(NOT(ISNUMBER(Dashboard!$B$11)),999,IF(OR(Dashboard!$B$11&lt;=0,$E240=""),999,ABS($E240-Dashboard!$B$11)))</f>
        <v>0.1160000000000001</v>
      </c>
      <c r="M240" s="108" t="str">
        <f>IF(NOT(ISNUMBER(Dashboard!$B$11)),"",IF(AND(Dashboard!$B$11&gt;0,$L240=MIN($L$2:$L$300)),"Closest overall reference",""))</f>
        <v/>
      </c>
      <c r="N240" s="108">
        <f>IF(NOT(ISNUMBER(Dashboard!$B$11)),999,IF(AND(Dashboard!$B$11&gt;0,$A240=Dashboard!$B$8,$E240&lt;&gt;""),ABS($E240-Dashboard!$B$11),999))</f>
        <v>0.1160000000000001</v>
      </c>
      <c r="O240" s="108" t="str">
        <f>IF(NOT(ISNUMBER(Dashboard!$B$11)),"",IF(AND(Dashboard!$B$11&gt;0,$N240=MIN($N$2:$N$300)),"Closest same-material reference",""))</f>
        <v/>
      </c>
      <c r="P240" s="108" t="str">
        <f>IF(AND($A240=Dashboard!$B$8,$C240='Calc Engine'!$B$5,$E240&lt;&gt;""),$E240,"")</f>
        <v/>
      </c>
      <c r="Q240" s="108">
        <f>IF(NOT(ISNUMBER(Dashboard!$B$11)),-999,IF(AND($P240&lt;&gt;"",Dashboard!$B$11&gt;0,$P240&lt;=Dashboard!$B$11),$P240,-999))</f>
        <v>-999</v>
      </c>
      <c r="R240" s="108">
        <f>IF(NOT(ISNUMBER(Dashboard!$B$11)),999,IF(AND($P240&lt;&gt;"",Dashboard!$B$11&gt;0,$P240&gt;=Dashboard!$B$11),$P240,999))</f>
        <v>999</v>
      </c>
      <c r="S240" s="108" t="str">
        <f t="shared" si="3"/>
        <v/>
      </c>
    </row>
    <row r="241" spans="1:19" ht="27.4" customHeight="1">
      <c r="A241" s="1" t="s">
        <v>21</v>
      </c>
      <c r="B241" s="1" t="s">
        <v>3243</v>
      </c>
      <c r="C241" s="1">
        <v>150</v>
      </c>
      <c r="D241" s="1">
        <v>11.7</v>
      </c>
      <c r="E241" s="1">
        <v>1.2549999999999999</v>
      </c>
      <c r="F241" s="1" t="s">
        <v>3010</v>
      </c>
      <c r="G241" s="1" t="s">
        <v>3256</v>
      </c>
      <c r="H241" s="1" t="s">
        <v>2195</v>
      </c>
      <c r="I241" s="1" t="s">
        <v>2195</v>
      </c>
      <c r="J241" s="1" t="s">
        <v>2208</v>
      </c>
      <c r="K241" s="108" t="str">
        <f>IF(AND($A241=Dashboard!$B$8,$C241='Calc Engine'!$B$5),$E241,"")</f>
        <v/>
      </c>
      <c r="L241" s="108">
        <f>IF(NOT(ISNUMBER(Dashboard!$B$11)),999,IF(OR(Dashboard!$B$11&lt;=0,$E241=""),999,ABS($E241-Dashboard!$B$11)))</f>
        <v>9.5000000000000195E-2</v>
      </c>
      <c r="M241" s="108" t="str">
        <f>IF(NOT(ISNUMBER(Dashboard!$B$11)),"",IF(AND(Dashboard!$B$11&gt;0,$L241=MIN($L$2:$L$300)),"Closest overall reference",""))</f>
        <v/>
      </c>
      <c r="N241" s="108">
        <f>IF(NOT(ISNUMBER(Dashboard!$B$11)),999,IF(AND(Dashboard!$B$11&gt;0,$A241=Dashboard!$B$8,$E241&lt;&gt;""),ABS($E241-Dashboard!$B$11),999))</f>
        <v>9.5000000000000195E-2</v>
      </c>
      <c r="O241" s="108" t="str">
        <f>IF(NOT(ISNUMBER(Dashboard!$B$11)),"",IF(AND(Dashboard!$B$11&gt;0,$N241=MIN($N$2:$N$300)),"Closest same-material reference",""))</f>
        <v/>
      </c>
      <c r="P241" s="108" t="str">
        <f>IF(AND($A241=Dashboard!$B$8,$C241='Calc Engine'!$B$5,$E241&lt;&gt;""),$E241,"")</f>
        <v/>
      </c>
      <c r="Q241" s="108">
        <f>IF(NOT(ISNUMBER(Dashboard!$B$11)),-999,IF(AND($P241&lt;&gt;"",Dashboard!$B$11&gt;0,$P241&lt;=Dashboard!$B$11),$P241,-999))</f>
        <v>-999</v>
      </c>
      <c r="R241" s="108">
        <f>IF(NOT(ISNUMBER(Dashboard!$B$11)),999,IF(AND($P241&lt;&gt;"",Dashboard!$B$11&gt;0,$P241&gt;=Dashboard!$B$11),$P241,999))</f>
        <v>999</v>
      </c>
      <c r="S241" s="108" t="str">
        <f t="shared" si="3"/>
        <v/>
      </c>
    </row>
    <row r="242" spans="1:19" ht="41.1" customHeight="1">
      <c r="A242" s="1" t="s">
        <v>21</v>
      </c>
      <c r="B242" s="1" t="s">
        <v>3012</v>
      </c>
      <c r="C242" s="1">
        <v>150</v>
      </c>
      <c r="D242" s="1">
        <v>9.8000000000000007</v>
      </c>
      <c r="E242" s="1">
        <v>1.22875</v>
      </c>
      <c r="F242" s="1" t="s">
        <v>3013</v>
      </c>
      <c r="G242" s="1" t="s">
        <v>3257</v>
      </c>
      <c r="H242" s="1" t="s">
        <v>2195</v>
      </c>
      <c r="I242" s="1" t="s">
        <v>2195</v>
      </c>
      <c r="J242" s="1" t="s">
        <v>2208</v>
      </c>
      <c r="K242" s="108" t="str">
        <f>IF(AND($A242=Dashboard!$B$8,$C242='Calc Engine'!$B$5),$E242,"")</f>
        <v/>
      </c>
      <c r="L242" s="108">
        <f>IF(NOT(ISNUMBER(Dashboard!$B$11)),999,IF(OR(Dashboard!$B$11&lt;=0,$E242=""),999,ABS($E242-Dashboard!$B$11)))</f>
        <v>0.12125000000000008</v>
      </c>
      <c r="M242" s="108" t="str">
        <f>IF(NOT(ISNUMBER(Dashboard!$B$11)),"",IF(AND(Dashboard!$B$11&gt;0,$L242=MIN($L$2:$L$300)),"Closest overall reference",""))</f>
        <v/>
      </c>
      <c r="N242" s="108">
        <f>IF(NOT(ISNUMBER(Dashboard!$B$11)),999,IF(AND(Dashboard!$B$11&gt;0,$A242=Dashboard!$B$8,$E242&lt;&gt;""),ABS($E242-Dashboard!$B$11),999))</f>
        <v>0.12125000000000008</v>
      </c>
      <c r="O242" s="108" t="str">
        <f>IF(NOT(ISNUMBER(Dashboard!$B$11)),"",IF(AND(Dashboard!$B$11&gt;0,$N242=MIN($N$2:$N$300)),"Closest same-material reference",""))</f>
        <v/>
      </c>
      <c r="P242" s="108" t="str">
        <f>IF(AND($A242=Dashboard!$B$8,$C242='Calc Engine'!$B$5,$E242&lt;&gt;""),$E242,"")</f>
        <v/>
      </c>
      <c r="Q242" s="108">
        <f>IF(NOT(ISNUMBER(Dashboard!$B$11)),-999,IF(AND($P242&lt;&gt;"",Dashboard!$B$11&gt;0,$P242&lt;=Dashboard!$B$11),$P242,-999))</f>
        <v>-999</v>
      </c>
      <c r="R242" s="108">
        <f>IF(NOT(ISNUMBER(Dashboard!$B$11)),999,IF(AND($P242&lt;&gt;"",Dashboard!$B$11&gt;0,$P242&gt;=Dashboard!$B$11),$P242,999))</f>
        <v>999</v>
      </c>
      <c r="S242" s="108" t="str">
        <f t="shared" si="3"/>
        <v/>
      </c>
    </row>
    <row r="243" spans="1:19" ht="54.75" customHeight="1">
      <c r="A243" s="1" t="s">
        <v>21</v>
      </c>
      <c r="B243" s="1" t="s">
        <v>3015</v>
      </c>
      <c r="C243" s="1">
        <v>150</v>
      </c>
      <c r="D243" s="1">
        <v>8.3000000000000007</v>
      </c>
      <c r="E243" s="1">
        <v>1.2050000000000001</v>
      </c>
      <c r="F243" s="1" t="s">
        <v>3016</v>
      </c>
      <c r="G243" s="1" t="s">
        <v>3258</v>
      </c>
      <c r="H243" s="1" t="s">
        <v>2195</v>
      </c>
      <c r="I243" s="1" t="s">
        <v>2195</v>
      </c>
      <c r="J243" s="1" t="s">
        <v>2208</v>
      </c>
      <c r="K243" s="108" t="str">
        <f>IF(AND($A243=Dashboard!$B$8,$C243='Calc Engine'!$B$5),$E243,"")</f>
        <v/>
      </c>
      <c r="L243" s="108">
        <f>IF(NOT(ISNUMBER(Dashboard!$B$11)),999,IF(OR(Dashboard!$B$11&lt;=0,$E243=""),999,ABS($E243-Dashboard!$B$11)))</f>
        <v>0.14500000000000002</v>
      </c>
      <c r="M243" s="108" t="str">
        <f>IF(NOT(ISNUMBER(Dashboard!$B$11)),"",IF(AND(Dashboard!$B$11&gt;0,$L243=MIN($L$2:$L$300)),"Closest overall reference",""))</f>
        <v/>
      </c>
      <c r="N243" s="108">
        <f>IF(NOT(ISNUMBER(Dashboard!$B$11)),999,IF(AND(Dashboard!$B$11&gt;0,$A243=Dashboard!$B$8,$E243&lt;&gt;""),ABS($E243-Dashboard!$B$11),999))</f>
        <v>0.14500000000000002</v>
      </c>
      <c r="O243" s="108" t="str">
        <f>IF(NOT(ISNUMBER(Dashboard!$B$11)),"",IF(AND(Dashboard!$B$11&gt;0,$N243=MIN($N$2:$N$300)),"Closest same-material reference",""))</f>
        <v/>
      </c>
      <c r="P243" s="108" t="str">
        <f>IF(AND($A243=Dashboard!$B$8,$C243='Calc Engine'!$B$5,$E243&lt;&gt;""),$E243,"")</f>
        <v/>
      </c>
      <c r="Q243" s="108">
        <f>IF(NOT(ISNUMBER(Dashboard!$B$11)),-999,IF(AND($P243&lt;&gt;"",Dashboard!$B$11&gt;0,$P243&lt;=Dashboard!$B$11),$P243,-999))</f>
        <v>-999</v>
      </c>
      <c r="R243" s="108">
        <f>IF(NOT(ISNUMBER(Dashboard!$B$11)),999,IF(AND($P243&lt;&gt;"",Dashboard!$B$11&gt;0,$P243&gt;=Dashboard!$B$11),$P243,999))</f>
        <v>999</v>
      </c>
      <c r="S243" s="108" t="str">
        <f t="shared" si="3"/>
        <v/>
      </c>
    </row>
    <row r="244" spans="1:19" ht="27.4" customHeight="1">
      <c r="A244" s="1" t="s">
        <v>21</v>
      </c>
      <c r="B244" s="1" t="s">
        <v>2180</v>
      </c>
      <c r="C244" s="1">
        <v>200</v>
      </c>
      <c r="D244" s="1">
        <v>9.1999999999999993</v>
      </c>
      <c r="E244" s="1">
        <v>1.173</v>
      </c>
      <c r="F244" s="1" t="s">
        <v>3010</v>
      </c>
      <c r="G244" s="1" t="s">
        <v>3259</v>
      </c>
      <c r="H244" s="1" t="s">
        <v>2195</v>
      </c>
      <c r="I244" s="1" t="s">
        <v>2195</v>
      </c>
      <c r="J244" s="1" t="s">
        <v>2208</v>
      </c>
      <c r="K244" s="108">
        <f>IF(AND($A244=Dashboard!$B$8,$C244='Calc Engine'!$B$5),$E244,"")</f>
        <v>1.173</v>
      </c>
      <c r="L244" s="108">
        <f>IF(NOT(ISNUMBER(Dashboard!$B$11)),999,IF(OR(Dashboard!$B$11&lt;=0,$E244=""),999,ABS($E244-Dashboard!$B$11)))</f>
        <v>0.17700000000000005</v>
      </c>
      <c r="M244" s="108" t="str">
        <f>IF(NOT(ISNUMBER(Dashboard!$B$11)),"",IF(AND(Dashboard!$B$11&gt;0,$L244=MIN($L$2:$L$300)),"Closest overall reference",""))</f>
        <v/>
      </c>
      <c r="N244" s="108">
        <f>IF(NOT(ISNUMBER(Dashboard!$B$11)),999,IF(AND(Dashboard!$B$11&gt;0,$A244=Dashboard!$B$8,$E244&lt;&gt;""),ABS($E244-Dashboard!$B$11),999))</f>
        <v>0.17700000000000005</v>
      </c>
      <c r="O244" s="108" t="str">
        <f>IF(NOT(ISNUMBER(Dashboard!$B$11)),"",IF(AND(Dashboard!$B$11&gt;0,$N244=MIN($N$2:$N$300)),"Closest same-material reference",""))</f>
        <v/>
      </c>
      <c r="P244" s="108">
        <f>IF(AND($A244=Dashboard!$B$8,$C244='Calc Engine'!$B$5,$E244&lt;&gt;""),$E244,"")</f>
        <v>1.173</v>
      </c>
      <c r="Q244" s="108">
        <f>IF(NOT(ISNUMBER(Dashboard!$B$11)),-999,IF(AND($P244&lt;&gt;"",Dashboard!$B$11&gt;0,$P244&lt;=Dashboard!$B$11),$P244,-999))</f>
        <v>1.173</v>
      </c>
      <c r="R244" s="108">
        <f>IF(NOT(ISNUMBER(Dashboard!$B$11)),999,IF(AND($P244&lt;&gt;"",Dashboard!$B$11&gt;0,$P244&gt;=Dashboard!$B$11),$P244,999))</f>
        <v>999</v>
      </c>
      <c r="S244" s="108">
        <f t="shared" si="3"/>
        <v>9.1999999999999993</v>
      </c>
    </row>
    <row r="245" spans="1:19" ht="27.4" customHeight="1">
      <c r="A245" s="1" t="s">
        <v>21</v>
      </c>
      <c r="B245" s="1" t="s">
        <v>2187</v>
      </c>
      <c r="C245" s="1">
        <v>200</v>
      </c>
      <c r="D245" s="1">
        <v>10.1</v>
      </c>
      <c r="E245" s="1">
        <v>1.1890000000000001</v>
      </c>
      <c r="F245" s="1" t="s">
        <v>3010</v>
      </c>
      <c r="G245" s="1" t="s">
        <v>3260</v>
      </c>
      <c r="H245" s="1" t="s">
        <v>2195</v>
      </c>
      <c r="I245" s="1" t="s">
        <v>2195</v>
      </c>
      <c r="J245" s="1" t="s">
        <v>2208</v>
      </c>
      <c r="K245" s="108">
        <f>IF(AND($A245=Dashboard!$B$8,$C245='Calc Engine'!$B$5),$E245,"")</f>
        <v>1.1890000000000001</v>
      </c>
      <c r="L245" s="108">
        <f>IF(NOT(ISNUMBER(Dashboard!$B$11)),999,IF(OR(Dashboard!$B$11&lt;=0,$E245=""),999,ABS($E245-Dashboard!$B$11)))</f>
        <v>0.16100000000000003</v>
      </c>
      <c r="M245" s="108" t="str">
        <f>IF(NOT(ISNUMBER(Dashboard!$B$11)),"",IF(AND(Dashboard!$B$11&gt;0,$L245=MIN($L$2:$L$300)),"Closest overall reference",""))</f>
        <v/>
      </c>
      <c r="N245" s="108">
        <f>IF(NOT(ISNUMBER(Dashboard!$B$11)),999,IF(AND(Dashboard!$B$11&gt;0,$A245=Dashboard!$B$8,$E245&lt;&gt;""),ABS($E245-Dashboard!$B$11),999))</f>
        <v>0.16100000000000003</v>
      </c>
      <c r="O245" s="108" t="str">
        <f>IF(NOT(ISNUMBER(Dashboard!$B$11)),"",IF(AND(Dashboard!$B$11&gt;0,$N245=MIN($N$2:$N$300)),"Closest same-material reference",""))</f>
        <v/>
      </c>
      <c r="P245" s="108">
        <f>IF(AND($A245=Dashboard!$B$8,$C245='Calc Engine'!$B$5,$E245&lt;&gt;""),$E245,"")</f>
        <v>1.1890000000000001</v>
      </c>
      <c r="Q245" s="108">
        <f>IF(NOT(ISNUMBER(Dashboard!$B$11)),-999,IF(AND($P245&lt;&gt;"",Dashboard!$B$11&gt;0,$P245&lt;=Dashboard!$B$11),$P245,-999))</f>
        <v>1.1890000000000001</v>
      </c>
      <c r="R245" s="108">
        <f>IF(NOT(ISNUMBER(Dashboard!$B$11)),999,IF(AND($P245&lt;&gt;"",Dashboard!$B$11&gt;0,$P245&gt;=Dashboard!$B$11),$P245,999))</f>
        <v>999</v>
      </c>
      <c r="S245" s="108">
        <f t="shared" si="3"/>
        <v>10.1</v>
      </c>
    </row>
    <row r="246" spans="1:19" ht="27.4" customHeight="1">
      <c r="A246" s="1" t="s">
        <v>21</v>
      </c>
      <c r="B246" s="1" t="s">
        <v>2193</v>
      </c>
      <c r="C246" s="1">
        <v>200</v>
      </c>
      <c r="D246" s="1">
        <v>11</v>
      </c>
      <c r="E246" s="1">
        <v>1.204</v>
      </c>
      <c r="F246" s="1" t="s">
        <v>3010</v>
      </c>
      <c r="G246" s="1" t="s">
        <v>3261</v>
      </c>
      <c r="H246" s="1" t="s">
        <v>2195</v>
      </c>
      <c r="I246" s="1" t="s">
        <v>2195</v>
      </c>
      <c r="J246" s="1" t="s">
        <v>2208</v>
      </c>
      <c r="K246" s="108">
        <f>IF(AND($A246=Dashboard!$B$8,$C246='Calc Engine'!$B$5),$E246,"")</f>
        <v>1.204</v>
      </c>
      <c r="L246" s="108">
        <f>IF(NOT(ISNUMBER(Dashboard!$B$11)),999,IF(OR(Dashboard!$B$11&lt;=0,$E246=""),999,ABS($E246-Dashboard!$B$11)))</f>
        <v>0.14600000000000013</v>
      </c>
      <c r="M246" s="108" t="str">
        <f>IF(NOT(ISNUMBER(Dashboard!$B$11)),"",IF(AND(Dashboard!$B$11&gt;0,$L246=MIN($L$2:$L$300)),"Closest overall reference",""))</f>
        <v/>
      </c>
      <c r="N246" s="108">
        <f>IF(NOT(ISNUMBER(Dashboard!$B$11)),999,IF(AND(Dashboard!$B$11&gt;0,$A246=Dashboard!$B$8,$E246&lt;&gt;""),ABS($E246-Dashboard!$B$11),999))</f>
        <v>0.14600000000000013</v>
      </c>
      <c r="O246" s="108" t="str">
        <f>IF(NOT(ISNUMBER(Dashboard!$B$11)),"",IF(AND(Dashboard!$B$11&gt;0,$N246=MIN($N$2:$N$300)),"Closest same-material reference",""))</f>
        <v/>
      </c>
      <c r="P246" s="108">
        <f>IF(AND($A246=Dashboard!$B$8,$C246='Calc Engine'!$B$5,$E246&lt;&gt;""),$E246,"")</f>
        <v>1.204</v>
      </c>
      <c r="Q246" s="108">
        <f>IF(NOT(ISNUMBER(Dashboard!$B$11)),-999,IF(AND($P246&lt;&gt;"",Dashboard!$B$11&gt;0,$P246&lt;=Dashboard!$B$11),$P246,-999))</f>
        <v>1.204</v>
      </c>
      <c r="R246" s="108">
        <f>IF(NOT(ISNUMBER(Dashboard!$B$11)),999,IF(AND($P246&lt;&gt;"",Dashboard!$B$11&gt;0,$P246&gt;=Dashboard!$B$11),$P246,999))</f>
        <v>999</v>
      </c>
      <c r="S246" s="108">
        <f t="shared" si="3"/>
        <v>11</v>
      </c>
    </row>
    <row r="247" spans="1:19" ht="27.4" customHeight="1">
      <c r="A247" s="1" t="s">
        <v>21</v>
      </c>
      <c r="B247" s="1" t="s">
        <v>3243</v>
      </c>
      <c r="C247" s="1">
        <v>200</v>
      </c>
      <c r="D247" s="1">
        <v>12.8</v>
      </c>
      <c r="E247" s="1">
        <v>1.228</v>
      </c>
      <c r="F247" s="1" t="s">
        <v>3010</v>
      </c>
      <c r="G247" s="1" t="s">
        <v>3262</v>
      </c>
      <c r="H247" s="1" t="s">
        <v>2195</v>
      </c>
      <c r="I247" s="1" t="s">
        <v>2195</v>
      </c>
      <c r="J247" s="1" t="s">
        <v>2208</v>
      </c>
      <c r="K247" s="108">
        <f>IF(AND($A247=Dashboard!$B$8,$C247='Calc Engine'!$B$5),$E247,"")</f>
        <v>1.228</v>
      </c>
      <c r="L247" s="108">
        <f>IF(NOT(ISNUMBER(Dashboard!$B$11)),999,IF(OR(Dashboard!$B$11&lt;=0,$E247=""),999,ABS($E247-Dashboard!$B$11)))</f>
        <v>0.12200000000000011</v>
      </c>
      <c r="M247" s="108" t="str">
        <f>IF(NOT(ISNUMBER(Dashboard!$B$11)),"",IF(AND(Dashboard!$B$11&gt;0,$L247=MIN($L$2:$L$300)),"Closest overall reference",""))</f>
        <v/>
      </c>
      <c r="N247" s="108">
        <f>IF(NOT(ISNUMBER(Dashboard!$B$11)),999,IF(AND(Dashboard!$B$11&gt;0,$A247=Dashboard!$B$8,$E247&lt;&gt;""),ABS($E247-Dashboard!$B$11),999))</f>
        <v>0.12200000000000011</v>
      </c>
      <c r="O247" s="108" t="str">
        <f>IF(NOT(ISNUMBER(Dashboard!$B$11)),"",IF(AND(Dashboard!$B$11&gt;0,$N247=MIN($N$2:$N$300)),"Closest same-material reference",""))</f>
        <v/>
      </c>
      <c r="P247" s="108">
        <f>IF(AND($A247=Dashboard!$B$8,$C247='Calc Engine'!$B$5,$E247&lt;&gt;""),$E247,"")</f>
        <v>1.228</v>
      </c>
      <c r="Q247" s="108">
        <f>IF(NOT(ISNUMBER(Dashboard!$B$11)),-999,IF(AND($P247&lt;&gt;"",Dashboard!$B$11&gt;0,$P247&lt;=Dashboard!$B$11),$P247,-999))</f>
        <v>1.228</v>
      </c>
      <c r="R247" s="108">
        <f>IF(NOT(ISNUMBER(Dashboard!$B$11)),999,IF(AND($P247&lt;&gt;"",Dashboard!$B$11&gt;0,$P247&gt;=Dashboard!$B$11),$P247,999))</f>
        <v>999</v>
      </c>
      <c r="S247" s="108">
        <f t="shared" si="3"/>
        <v>12.8</v>
      </c>
    </row>
    <row r="248" spans="1:19" ht="41.1" customHeight="1">
      <c r="A248" s="1" t="s">
        <v>21</v>
      </c>
      <c r="B248" s="1" t="s">
        <v>3012</v>
      </c>
      <c r="C248" s="1">
        <v>200</v>
      </c>
      <c r="D248" s="1">
        <v>10.775</v>
      </c>
      <c r="E248" s="1">
        <v>1.1984999999999999</v>
      </c>
      <c r="F248" s="1" t="s">
        <v>3013</v>
      </c>
      <c r="G248" s="1" t="s">
        <v>3263</v>
      </c>
      <c r="H248" s="1" t="s">
        <v>2195</v>
      </c>
      <c r="I248" s="1" t="s">
        <v>2195</v>
      </c>
      <c r="J248" s="1" t="s">
        <v>2208</v>
      </c>
      <c r="K248" s="108">
        <f>IF(AND($A248=Dashboard!$B$8,$C248='Calc Engine'!$B$5),$E248,"")</f>
        <v>1.1984999999999999</v>
      </c>
      <c r="L248" s="108">
        <f>IF(NOT(ISNUMBER(Dashboard!$B$11)),999,IF(OR(Dashboard!$B$11&lt;=0,$E248=""),999,ABS($E248-Dashboard!$B$11)))</f>
        <v>0.15150000000000019</v>
      </c>
      <c r="M248" s="108" t="str">
        <f>IF(NOT(ISNUMBER(Dashboard!$B$11)),"",IF(AND(Dashboard!$B$11&gt;0,$L248=MIN($L$2:$L$300)),"Closest overall reference",""))</f>
        <v/>
      </c>
      <c r="N248" s="108">
        <f>IF(NOT(ISNUMBER(Dashboard!$B$11)),999,IF(AND(Dashboard!$B$11&gt;0,$A248=Dashboard!$B$8,$E248&lt;&gt;""),ABS($E248-Dashboard!$B$11),999))</f>
        <v>0.15150000000000019</v>
      </c>
      <c r="O248" s="108" t="str">
        <f>IF(NOT(ISNUMBER(Dashboard!$B$11)),"",IF(AND(Dashboard!$B$11&gt;0,$N248=MIN($N$2:$N$300)),"Closest same-material reference",""))</f>
        <v/>
      </c>
      <c r="P248" s="108">
        <f>IF(AND($A248=Dashboard!$B$8,$C248='Calc Engine'!$B$5,$E248&lt;&gt;""),$E248,"")</f>
        <v>1.1984999999999999</v>
      </c>
      <c r="Q248" s="108">
        <f>IF(NOT(ISNUMBER(Dashboard!$B$11)),-999,IF(AND($P248&lt;&gt;"",Dashboard!$B$11&gt;0,$P248&lt;=Dashboard!$B$11),$P248,-999))</f>
        <v>1.1984999999999999</v>
      </c>
      <c r="R248" s="108">
        <f>IF(NOT(ISNUMBER(Dashboard!$B$11)),999,IF(AND($P248&lt;&gt;"",Dashboard!$B$11&gt;0,$P248&gt;=Dashboard!$B$11),$P248,999))</f>
        <v>999</v>
      </c>
      <c r="S248" s="108">
        <f t="shared" si="3"/>
        <v>10.775</v>
      </c>
    </row>
    <row r="249" spans="1:19" ht="54.75" customHeight="1">
      <c r="A249" s="1" t="s">
        <v>21</v>
      </c>
      <c r="B249" s="1" t="s">
        <v>3015</v>
      </c>
      <c r="C249" s="1">
        <v>200</v>
      </c>
      <c r="D249" s="1">
        <v>9.1999999999999993</v>
      </c>
      <c r="E249" s="1">
        <v>1.173</v>
      </c>
      <c r="F249" s="1" t="s">
        <v>3016</v>
      </c>
      <c r="G249" s="1" t="s">
        <v>3264</v>
      </c>
      <c r="H249" s="1" t="s">
        <v>2195</v>
      </c>
      <c r="I249" s="1" t="s">
        <v>2195</v>
      </c>
      <c r="J249" s="1" t="s">
        <v>2208</v>
      </c>
      <c r="K249" s="108">
        <f>IF(AND($A249=Dashboard!$B$8,$C249='Calc Engine'!$B$5),$E249,"")</f>
        <v>1.173</v>
      </c>
      <c r="L249" s="108">
        <f>IF(NOT(ISNUMBER(Dashboard!$B$11)),999,IF(OR(Dashboard!$B$11&lt;=0,$E249=""),999,ABS($E249-Dashboard!$B$11)))</f>
        <v>0.17700000000000005</v>
      </c>
      <c r="M249" s="108" t="str">
        <f>IF(NOT(ISNUMBER(Dashboard!$B$11)),"",IF(AND(Dashboard!$B$11&gt;0,$L249=MIN($L$2:$L$300)),"Closest overall reference",""))</f>
        <v/>
      </c>
      <c r="N249" s="108">
        <f>IF(NOT(ISNUMBER(Dashboard!$B$11)),999,IF(AND(Dashboard!$B$11&gt;0,$A249=Dashboard!$B$8,$E249&lt;&gt;""),ABS($E249-Dashboard!$B$11),999))</f>
        <v>0.17700000000000005</v>
      </c>
      <c r="O249" s="108" t="str">
        <f>IF(NOT(ISNUMBER(Dashboard!$B$11)),"",IF(AND(Dashboard!$B$11&gt;0,$N249=MIN($N$2:$N$300)),"Closest same-material reference",""))</f>
        <v/>
      </c>
      <c r="P249" s="108">
        <f>IF(AND($A249=Dashboard!$B$8,$C249='Calc Engine'!$B$5,$E249&lt;&gt;""),$E249,"")</f>
        <v>1.173</v>
      </c>
      <c r="Q249" s="108">
        <f>IF(NOT(ISNUMBER(Dashboard!$B$11)),-999,IF(AND($P249&lt;&gt;"",Dashboard!$B$11&gt;0,$P249&lt;=Dashboard!$B$11),$P249,-999))</f>
        <v>1.173</v>
      </c>
      <c r="R249" s="108">
        <f>IF(NOT(ISNUMBER(Dashboard!$B$11)),999,IF(AND($P249&lt;&gt;"",Dashboard!$B$11&gt;0,$P249&gt;=Dashboard!$B$11),$P249,999))</f>
        <v>999</v>
      </c>
      <c r="S249" s="108">
        <f t="shared" si="3"/>
        <v>9.1999999999999993</v>
      </c>
    </row>
    <row r="250" spans="1:19" ht="27.4" customHeight="1">
      <c r="A250" s="1" t="s">
        <v>21</v>
      </c>
      <c r="B250" s="1" t="s">
        <v>2180</v>
      </c>
      <c r="C250" s="1">
        <v>250</v>
      </c>
      <c r="D250" s="1">
        <v>10</v>
      </c>
      <c r="E250" s="1">
        <v>1.1459999999999999</v>
      </c>
      <c r="F250" s="1" t="s">
        <v>3010</v>
      </c>
      <c r="G250" s="1" t="s">
        <v>3265</v>
      </c>
      <c r="H250" s="1" t="s">
        <v>2195</v>
      </c>
      <c r="I250" s="1" t="s">
        <v>2195</v>
      </c>
      <c r="J250" s="1" t="s">
        <v>2208</v>
      </c>
      <c r="K250" s="108" t="str">
        <f>IF(AND($A250=Dashboard!$B$8,$C250='Calc Engine'!$B$5),$E250,"")</f>
        <v/>
      </c>
      <c r="L250" s="108">
        <f>IF(NOT(ISNUMBER(Dashboard!$B$11)),999,IF(OR(Dashboard!$B$11&lt;=0,$E250=""),999,ABS($E250-Dashboard!$B$11)))</f>
        <v>0.20400000000000018</v>
      </c>
      <c r="M250" s="108" t="str">
        <f>IF(NOT(ISNUMBER(Dashboard!$B$11)),"",IF(AND(Dashboard!$B$11&gt;0,$L250=MIN($L$2:$L$300)),"Closest overall reference",""))</f>
        <v/>
      </c>
      <c r="N250" s="108">
        <f>IF(NOT(ISNUMBER(Dashboard!$B$11)),999,IF(AND(Dashboard!$B$11&gt;0,$A250=Dashboard!$B$8,$E250&lt;&gt;""),ABS($E250-Dashboard!$B$11),999))</f>
        <v>0.20400000000000018</v>
      </c>
      <c r="O250" s="108" t="str">
        <f>IF(NOT(ISNUMBER(Dashboard!$B$11)),"",IF(AND(Dashboard!$B$11&gt;0,$N250=MIN($N$2:$N$300)),"Closest same-material reference",""))</f>
        <v/>
      </c>
      <c r="P250" s="108" t="str">
        <f>IF(AND($A250=Dashboard!$B$8,$C250='Calc Engine'!$B$5,$E250&lt;&gt;""),$E250,"")</f>
        <v/>
      </c>
      <c r="Q250" s="108">
        <f>IF(NOT(ISNUMBER(Dashboard!$B$11)),-999,IF(AND($P250&lt;&gt;"",Dashboard!$B$11&gt;0,$P250&lt;=Dashboard!$B$11),$P250,-999))</f>
        <v>-999</v>
      </c>
      <c r="R250" s="108">
        <f>IF(NOT(ISNUMBER(Dashboard!$B$11)),999,IF(AND($P250&lt;&gt;"",Dashboard!$B$11&gt;0,$P250&gt;=Dashboard!$B$11),$P250,999))</f>
        <v>999</v>
      </c>
      <c r="S250" s="108" t="str">
        <f t="shared" si="3"/>
        <v/>
      </c>
    </row>
    <row r="251" spans="1:19" ht="27.4" customHeight="1">
      <c r="A251" s="1" t="s">
        <v>21</v>
      </c>
      <c r="B251" s="1" t="s">
        <v>2187</v>
      </c>
      <c r="C251" s="1">
        <v>250</v>
      </c>
      <c r="D251" s="1">
        <v>11</v>
      </c>
      <c r="E251" s="1">
        <v>1.1639999999999999</v>
      </c>
      <c r="F251" s="1" t="s">
        <v>3010</v>
      </c>
      <c r="G251" s="1" t="s">
        <v>3266</v>
      </c>
      <c r="H251" s="1" t="s">
        <v>2195</v>
      </c>
      <c r="I251" s="1" t="s">
        <v>2195</v>
      </c>
      <c r="J251" s="1" t="s">
        <v>2208</v>
      </c>
      <c r="K251" s="108" t="str">
        <f>IF(AND($A251=Dashboard!$B$8,$C251='Calc Engine'!$B$5),$E251,"")</f>
        <v/>
      </c>
      <c r="L251" s="108">
        <f>IF(NOT(ISNUMBER(Dashboard!$B$11)),999,IF(OR(Dashboard!$B$11&lt;=0,$E251=""),999,ABS($E251-Dashboard!$B$11)))</f>
        <v>0.18600000000000017</v>
      </c>
      <c r="M251" s="108" t="str">
        <f>IF(NOT(ISNUMBER(Dashboard!$B$11)),"",IF(AND(Dashboard!$B$11&gt;0,$L251=MIN($L$2:$L$300)),"Closest overall reference",""))</f>
        <v/>
      </c>
      <c r="N251" s="108">
        <f>IF(NOT(ISNUMBER(Dashboard!$B$11)),999,IF(AND(Dashboard!$B$11&gt;0,$A251=Dashboard!$B$8,$E251&lt;&gt;""),ABS($E251-Dashboard!$B$11),999))</f>
        <v>0.18600000000000017</v>
      </c>
      <c r="O251" s="108" t="str">
        <f>IF(NOT(ISNUMBER(Dashboard!$B$11)),"",IF(AND(Dashboard!$B$11&gt;0,$N251=MIN($N$2:$N$300)),"Closest same-material reference",""))</f>
        <v/>
      </c>
      <c r="P251" s="108" t="str">
        <f>IF(AND($A251=Dashboard!$B$8,$C251='Calc Engine'!$B$5,$E251&lt;&gt;""),$E251,"")</f>
        <v/>
      </c>
      <c r="Q251" s="108">
        <f>IF(NOT(ISNUMBER(Dashboard!$B$11)),-999,IF(AND($P251&lt;&gt;"",Dashboard!$B$11&gt;0,$P251&lt;=Dashboard!$B$11),$P251,-999))</f>
        <v>-999</v>
      </c>
      <c r="R251" s="108">
        <f>IF(NOT(ISNUMBER(Dashboard!$B$11)),999,IF(AND($P251&lt;&gt;"",Dashboard!$B$11&gt;0,$P251&gt;=Dashboard!$B$11),$P251,999))</f>
        <v>999</v>
      </c>
      <c r="S251" s="108" t="str">
        <f t="shared" si="3"/>
        <v/>
      </c>
    </row>
    <row r="252" spans="1:19" ht="27.4" customHeight="1">
      <c r="A252" s="1" t="s">
        <v>21</v>
      </c>
      <c r="B252" s="1" t="s">
        <v>2193</v>
      </c>
      <c r="C252" s="1">
        <v>250</v>
      </c>
      <c r="D252" s="1">
        <v>12</v>
      </c>
      <c r="E252" s="1">
        <v>1.18</v>
      </c>
      <c r="F252" s="1" t="s">
        <v>3010</v>
      </c>
      <c r="G252" s="1" t="s">
        <v>3267</v>
      </c>
      <c r="H252" s="1" t="s">
        <v>2195</v>
      </c>
      <c r="I252" s="1" t="s">
        <v>2195</v>
      </c>
      <c r="J252" s="1" t="s">
        <v>2208</v>
      </c>
      <c r="K252" s="108" t="str">
        <f>IF(AND($A252=Dashboard!$B$8,$C252='Calc Engine'!$B$5),$E252,"")</f>
        <v/>
      </c>
      <c r="L252" s="108">
        <f>IF(NOT(ISNUMBER(Dashboard!$B$11)),999,IF(OR(Dashboard!$B$11&lt;=0,$E252=""),999,ABS($E252-Dashboard!$B$11)))</f>
        <v>0.17000000000000015</v>
      </c>
      <c r="M252" s="108" t="str">
        <f>IF(NOT(ISNUMBER(Dashboard!$B$11)),"",IF(AND(Dashboard!$B$11&gt;0,$L252=MIN($L$2:$L$300)),"Closest overall reference",""))</f>
        <v/>
      </c>
      <c r="N252" s="108">
        <f>IF(NOT(ISNUMBER(Dashboard!$B$11)),999,IF(AND(Dashboard!$B$11&gt;0,$A252=Dashboard!$B$8,$E252&lt;&gt;""),ABS($E252-Dashboard!$B$11),999))</f>
        <v>0.17000000000000015</v>
      </c>
      <c r="O252" s="108" t="str">
        <f>IF(NOT(ISNUMBER(Dashboard!$B$11)),"",IF(AND(Dashboard!$B$11&gt;0,$N252=MIN($N$2:$N$300)),"Closest same-material reference",""))</f>
        <v/>
      </c>
      <c r="P252" s="108" t="str">
        <f>IF(AND($A252=Dashboard!$B$8,$C252='Calc Engine'!$B$5,$E252&lt;&gt;""),$E252,"")</f>
        <v/>
      </c>
      <c r="Q252" s="108">
        <f>IF(NOT(ISNUMBER(Dashboard!$B$11)),-999,IF(AND($P252&lt;&gt;"",Dashboard!$B$11&gt;0,$P252&lt;=Dashboard!$B$11),$P252,-999))</f>
        <v>-999</v>
      </c>
      <c r="R252" s="108">
        <f>IF(NOT(ISNUMBER(Dashboard!$B$11)),999,IF(AND($P252&lt;&gt;"",Dashboard!$B$11&gt;0,$P252&gt;=Dashboard!$B$11),$P252,999))</f>
        <v>999</v>
      </c>
      <c r="S252" s="108" t="str">
        <f t="shared" si="3"/>
        <v/>
      </c>
    </row>
    <row r="253" spans="1:19" ht="27.4" customHeight="1">
      <c r="A253" s="1" t="s">
        <v>21</v>
      </c>
      <c r="B253" s="1" t="s">
        <v>3243</v>
      </c>
      <c r="C253" s="1">
        <v>250</v>
      </c>
      <c r="D253" s="1">
        <v>14</v>
      </c>
      <c r="E253" s="1">
        <v>1.2070000000000001</v>
      </c>
      <c r="F253" s="1" t="s">
        <v>3010</v>
      </c>
      <c r="G253" s="1" t="s">
        <v>3268</v>
      </c>
      <c r="H253" s="1" t="s">
        <v>2195</v>
      </c>
      <c r="I253" s="1" t="s">
        <v>2195</v>
      </c>
      <c r="J253" s="1" t="s">
        <v>2208</v>
      </c>
      <c r="K253" s="108" t="str">
        <f>IF(AND($A253=Dashboard!$B$8,$C253='Calc Engine'!$B$5),$E253,"")</f>
        <v/>
      </c>
      <c r="L253" s="108">
        <f>IF(NOT(ISNUMBER(Dashboard!$B$11)),999,IF(OR(Dashboard!$B$11&lt;=0,$E253=""),999,ABS($E253-Dashboard!$B$11)))</f>
        <v>0.14300000000000002</v>
      </c>
      <c r="M253" s="108" t="str">
        <f>IF(NOT(ISNUMBER(Dashboard!$B$11)),"",IF(AND(Dashboard!$B$11&gt;0,$L253=MIN($L$2:$L$300)),"Closest overall reference",""))</f>
        <v/>
      </c>
      <c r="N253" s="108">
        <f>IF(NOT(ISNUMBER(Dashboard!$B$11)),999,IF(AND(Dashboard!$B$11&gt;0,$A253=Dashboard!$B$8,$E253&lt;&gt;""),ABS($E253-Dashboard!$B$11),999))</f>
        <v>0.14300000000000002</v>
      </c>
      <c r="O253" s="108" t="str">
        <f>IF(NOT(ISNUMBER(Dashboard!$B$11)),"",IF(AND(Dashboard!$B$11&gt;0,$N253=MIN($N$2:$N$300)),"Closest same-material reference",""))</f>
        <v/>
      </c>
      <c r="P253" s="108" t="str">
        <f>IF(AND($A253=Dashboard!$B$8,$C253='Calc Engine'!$B$5,$E253&lt;&gt;""),$E253,"")</f>
        <v/>
      </c>
      <c r="Q253" s="108">
        <f>IF(NOT(ISNUMBER(Dashboard!$B$11)),-999,IF(AND($P253&lt;&gt;"",Dashboard!$B$11&gt;0,$P253&lt;=Dashboard!$B$11),$P253,-999))</f>
        <v>-999</v>
      </c>
      <c r="R253" s="108">
        <f>IF(NOT(ISNUMBER(Dashboard!$B$11)),999,IF(AND($P253&lt;&gt;"",Dashboard!$B$11&gt;0,$P253&gt;=Dashboard!$B$11),$P253,999))</f>
        <v>999</v>
      </c>
      <c r="S253" s="108" t="str">
        <f t="shared" si="3"/>
        <v/>
      </c>
    </row>
    <row r="254" spans="1:19" ht="41.1" customHeight="1">
      <c r="A254" s="1" t="s">
        <v>21</v>
      </c>
      <c r="B254" s="1" t="s">
        <v>3012</v>
      </c>
      <c r="C254" s="1">
        <v>250</v>
      </c>
      <c r="D254" s="1">
        <v>11.75</v>
      </c>
      <c r="E254" s="1">
        <v>1.17425</v>
      </c>
      <c r="F254" s="1" t="s">
        <v>3013</v>
      </c>
      <c r="G254" s="1" t="s">
        <v>3269</v>
      </c>
      <c r="H254" s="1" t="s">
        <v>2195</v>
      </c>
      <c r="I254" s="1" t="s">
        <v>2195</v>
      </c>
      <c r="J254" s="1" t="s">
        <v>2208</v>
      </c>
      <c r="K254" s="108" t="str">
        <f>IF(AND($A254=Dashboard!$B$8,$C254='Calc Engine'!$B$5),$E254,"")</f>
        <v/>
      </c>
      <c r="L254" s="108">
        <f>IF(NOT(ISNUMBER(Dashboard!$B$11)),999,IF(OR(Dashboard!$B$11&lt;=0,$E254=""),999,ABS($E254-Dashboard!$B$11)))</f>
        <v>0.17575000000000007</v>
      </c>
      <c r="M254" s="108" t="str">
        <f>IF(NOT(ISNUMBER(Dashboard!$B$11)),"",IF(AND(Dashboard!$B$11&gt;0,$L254=MIN($L$2:$L$300)),"Closest overall reference",""))</f>
        <v/>
      </c>
      <c r="N254" s="108">
        <f>IF(NOT(ISNUMBER(Dashboard!$B$11)),999,IF(AND(Dashboard!$B$11&gt;0,$A254=Dashboard!$B$8,$E254&lt;&gt;""),ABS($E254-Dashboard!$B$11),999))</f>
        <v>0.17575000000000007</v>
      </c>
      <c r="O254" s="108" t="str">
        <f>IF(NOT(ISNUMBER(Dashboard!$B$11)),"",IF(AND(Dashboard!$B$11&gt;0,$N254=MIN($N$2:$N$300)),"Closest same-material reference",""))</f>
        <v/>
      </c>
      <c r="P254" s="108" t="str">
        <f>IF(AND($A254=Dashboard!$B$8,$C254='Calc Engine'!$B$5,$E254&lt;&gt;""),$E254,"")</f>
        <v/>
      </c>
      <c r="Q254" s="108">
        <f>IF(NOT(ISNUMBER(Dashboard!$B$11)),-999,IF(AND($P254&lt;&gt;"",Dashboard!$B$11&gt;0,$P254&lt;=Dashboard!$B$11),$P254,-999))</f>
        <v>-999</v>
      </c>
      <c r="R254" s="108">
        <f>IF(NOT(ISNUMBER(Dashboard!$B$11)),999,IF(AND($P254&lt;&gt;"",Dashboard!$B$11&gt;0,$P254&gt;=Dashboard!$B$11),$P254,999))</f>
        <v>999</v>
      </c>
      <c r="S254" s="108" t="str">
        <f t="shared" si="3"/>
        <v/>
      </c>
    </row>
    <row r="255" spans="1:19" ht="54.75" customHeight="1">
      <c r="A255" s="1" t="s">
        <v>21</v>
      </c>
      <c r="B255" s="1" t="s">
        <v>3015</v>
      </c>
      <c r="C255" s="1">
        <v>250</v>
      </c>
      <c r="D255" s="1">
        <v>10</v>
      </c>
      <c r="E255" s="1">
        <v>1.1459999999999999</v>
      </c>
      <c r="F255" s="1" t="s">
        <v>3016</v>
      </c>
      <c r="G255" s="1" t="s">
        <v>3270</v>
      </c>
      <c r="H255" s="1" t="s">
        <v>2195</v>
      </c>
      <c r="I255" s="1" t="s">
        <v>2195</v>
      </c>
      <c r="J255" s="1" t="s">
        <v>2208</v>
      </c>
      <c r="K255" s="108" t="str">
        <f>IF(AND($A255=Dashboard!$B$8,$C255='Calc Engine'!$B$5),$E255,"")</f>
        <v/>
      </c>
      <c r="L255" s="108">
        <f>IF(NOT(ISNUMBER(Dashboard!$B$11)),999,IF(OR(Dashboard!$B$11&lt;=0,$E255=""),999,ABS($E255-Dashboard!$B$11)))</f>
        <v>0.20400000000000018</v>
      </c>
      <c r="M255" s="108" t="str">
        <f>IF(NOT(ISNUMBER(Dashboard!$B$11)),"",IF(AND(Dashboard!$B$11&gt;0,$L255=MIN($L$2:$L$300)),"Closest overall reference",""))</f>
        <v/>
      </c>
      <c r="N255" s="108">
        <f>IF(NOT(ISNUMBER(Dashboard!$B$11)),999,IF(AND(Dashboard!$B$11&gt;0,$A255=Dashboard!$B$8,$E255&lt;&gt;""),ABS($E255-Dashboard!$B$11),999))</f>
        <v>0.20400000000000018</v>
      </c>
      <c r="O255" s="108" t="str">
        <f>IF(NOT(ISNUMBER(Dashboard!$B$11)),"",IF(AND(Dashboard!$B$11&gt;0,$N255=MIN($N$2:$N$300)),"Closest same-material reference",""))</f>
        <v/>
      </c>
      <c r="P255" s="108" t="str">
        <f>IF(AND($A255=Dashboard!$B$8,$C255='Calc Engine'!$B$5,$E255&lt;&gt;""),$E255,"")</f>
        <v/>
      </c>
      <c r="Q255" s="108">
        <f>IF(NOT(ISNUMBER(Dashboard!$B$11)),-999,IF(AND($P255&lt;&gt;"",Dashboard!$B$11&gt;0,$P255&lt;=Dashboard!$B$11),$P255,-999))</f>
        <v>-999</v>
      </c>
      <c r="R255" s="108">
        <f>IF(NOT(ISNUMBER(Dashboard!$B$11)),999,IF(AND($P255&lt;&gt;"",Dashboard!$B$11&gt;0,$P255&gt;=Dashboard!$B$11),$P255,999))</f>
        <v>999</v>
      </c>
      <c r="S255" s="108" t="str">
        <f t="shared" si="3"/>
        <v/>
      </c>
    </row>
    <row r="256" spans="1:19" ht="27.4" customHeight="1">
      <c r="A256" s="1" t="s">
        <v>21</v>
      </c>
      <c r="B256" s="1" t="s">
        <v>2180</v>
      </c>
      <c r="C256" s="1">
        <v>300</v>
      </c>
      <c r="D256" s="1">
        <v>10.8</v>
      </c>
      <c r="E256" s="1">
        <v>1.125</v>
      </c>
      <c r="F256" s="1" t="s">
        <v>3010</v>
      </c>
      <c r="G256" s="1" t="s">
        <v>3271</v>
      </c>
      <c r="H256" s="1" t="s">
        <v>2195</v>
      </c>
      <c r="I256" s="1" t="s">
        <v>2195</v>
      </c>
      <c r="J256" s="1" t="s">
        <v>2208</v>
      </c>
      <c r="K256" s="108" t="str">
        <f>IF(AND($A256=Dashboard!$B$8,$C256='Calc Engine'!$B$5),$E256,"")</f>
        <v/>
      </c>
      <c r="L256" s="108">
        <f>IF(NOT(ISNUMBER(Dashboard!$B$11)),999,IF(OR(Dashboard!$B$11&lt;=0,$E256=""),999,ABS($E256-Dashboard!$B$11)))</f>
        <v>0.22500000000000009</v>
      </c>
      <c r="M256" s="108" t="str">
        <f>IF(NOT(ISNUMBER(Dashboard!$B$11)),"",IF(AND(Dashboard!$B$11&gt;0,$L256=MIN($L$2:$L$300)),"Closest overall reference",""))</f>
        <v/>
      </c>
      <c r="N256" s="108">
        <f>IF(NOT(ISNUMBER(Dashboard!$B$11)),999,IF(AND(Dashboard!$B$11&gt;0,$A256=Dashboard!$B$8,$E256&lt;&gt;""),ABS($E256-Dashboard!$B$11),999))</f>
        <v>0.22500000000000009</v>
      </c>
      <c r="O256" s="108" t="str">
        <f>IF(NOT(ISNUMBER(Dashboard!$B$11)),"",IF(AND(Dashboard!$B$11&gt;0,$N256=MIN($N$2:$N$300)),"Closest same-material reference",""))</f>
        <v/>
      </c>
      <c r="P256" s="108" t="str">
        <f>IF(AND($A256=Dashboard!$B$8,$C256='Calc Engine'!$B$5,$E256&lt;&gt;""),$E256,"")</f>
        <v/>
      </c>
      <c r="Q256" s="108">
        <f>IF(NOT(ISNUMBER(Dashboard!$B$11)),-999,IF(AND($P256&lt;&gt;"",Dashboard!$B$11&gt;0,$P256&lt;=Dashboard!$B$11),$P256,-999))</f>
        <v>-999</v>
      </c>
      <c r="R256" s="108">
        <f>IF(NOT(ISNUMBER(Dashboard!$B$11)),999,IF(AND($P256&lt;&gt;"",Dashboard!$B$11&gt;0,$P256&gt;=Dashboard!$B$11),$P256,999))</f>
        <v>999</v>
      </c>
      <c r="S256" s="108" t="str">
        <f t="shared" si="3"/>
        <v/>
      </c>
    </row>
    <row r="257" spans="1:19" ht="27.4" customHeight="1">
      <c r="A257" s="1" t="s">
        <v>21</v>
      </c>
      <c r="B257" s="1" t="s">
        <v>2187</v>
      </c>
      <c r="C257" s="1">
        <v>300</v>
      </c>
      <c r="D257" s="1">
        <v>11.9</v>
      </c>
      <c r="E257" s="1">
        <v>1.1439999999999999</v>
      </c>
      <c r="F257" s="1" t="s">
        <v>3010</v>
      </c>
      <c r="G257" s="1" t="s">
        <v>3272</v>
      </c>
      <c r="H257" s="1" t="s">
        <v>2195</v>
      </c>
      <c r="I257" s="1" t="s">
        <v>2195</v>
      </c>
      <c r="J257" s="1" t="s">
        <v>2208</v>
      </c>
      <c r="K257" s="108" t="str">
        <f>IF(AND($A257=Dashboard!$B$8,$C257='Calc Engine'!$B$5),$E257,"")</f>
        <v/>
      </c>
      <c r="L257" s="108">
        <f>IF(NOT(ISNUMBER(Dashboard!$B$11)),999,IF(OR(Dashboard!$B$11&lt;=0,$E257=""),999,ABS($E257-Dashboard!$B$11)))</f>
        <v>0.20600000000000018</v>
      </c>
      <c r="M257" s="108" t="str">
        <f>IF(NOT(ISNUMBER(Dashboard!$B$11)),"",IF(AND(Dashboard!$B$11&gt;0,$L257=MIN($L$2:$L$300)),"Closest overall reference",""))</f>
        <v/>
      </c>
      <c r="N257" s="108">
        <f>IF(NOT(ISNUMBER(Dashboard!$B$11)),999,IF(AND(Dashboard!$B$11&gt;0,$A257=Dashboard!$B$8,$E257&lt;&gt;""),ABS($E257-Dashboard!$B$11),999))</f>
        <v>0.20600000000000018</v>
      </c>
      <c r="O257" s="108" t="str">
        <f>IF(NOT(ISNUMBER(Dashboard!$B$11)),"",IF(AND(Dashboard!$B$11&gt;0,$N257=MIN($N$2:$N$300)),"Closest same-material reference",""))</f>
        <v/>
      </c>
      <c r="P257" s="108" t="str">
        <f>IF(AND($A257=Dashboard!$B$8,$C257='Calc Engine'!$B$5,$E257&lt;&gt;""),$E257,"")</f>
        <v/>
      </c>
      <c r="Q257" s="108">
        <f>IF(NOT(ISNUMBER(Dashboard!$B$11)),-999,IF(AND($P257&lt;&gt;"",Dashboard!$B$11&gt;0,$P257&lt;=Dashboard!$B$11),$P257,-999))</f>
        <v>-999</v>
      </c>
      <c r="R257" s="108">
        <f>IF(NOT(ISNUMBER(Dashboard!$B$11)),999,IF(AND($P257&lt;&gt;"",Dashboard!$B$11&gt;0,$P257&gt;=Dashboard!$B$11),$P257,999))</f>
        <v>999</v>
      </c>
      <c r="S257" s="108" t="str">
        <f t="shared" si="3"/>
        <v/>
      </c>
    </row>
    <row r="258" spans="1:19" ht="27.4" customHeight="1">
      <c r="A258" s="1" t="s">
        <v>21</v>
      </c>
      <c r="B258" s="1" t="s">
        <v>2193</v>
      </c>
      <c r="C258" s="1">
        <v>300</v>
      </c>
      <c r="D258" s="1">
        <v>13</v>
      </c>
      <c r="E258" s="1">
        <v>1.161</v>
      </c>
      <c r="F258" s="1" t="s">
        <v>3010</v>
      </c>
      <c r="G258" s="1" t="s">
        <v>3273</v>
      </c>
      <c r="H258" s="1" t="s">
        <v>2195</v>
      </c>
      <c r="I258" s="1" t="s">
        <v>2195</v>
      </c>
      <c r="J258" s="1" t="s">
        <v>2208</v>
      </c>
      <c r="K258" s="108" t="str">
        <f>IF(AND($A258=Dashboard!$B$8,$C258='Calc Engine'!$B$5),$E258,"")</f>
        <v/>
      </c>
      <c r="L258" s="108">
        <f>IF(NOT(ISNUMBER(Dashboard!$B$11)),999,IF(OR(Dashboard!$B$11&lt;=0,$E258=""),999,ABS($E258-Dashboard!$B$11)))</f>
        <v>0.18900000000000006</v>
      </c>
      <c r="M258" s="108" t="str">
        <f>IF(NOT(ISNUMBER(Dashboard!$B$11)),"",IF(AND(Dashboard!$B$11&gt;0,$L258=MIN($L$2:$L$300)),"Closest overall reference",""))</f>
        <v/>
      </c>
      <c r="N258" s="108">
        <f>IF(NOT(ISNUMBER(Dashboard!$B$11)),999,IF(AND(Dashboard!$B$11&gt;0,$A258=Dashboard!$B$8,$E258&lt;&gt;""),ABS($E258-Dashboard!$B$11),999))</f>
        <v>0.18900000000000006</v>
      </c>
      <c r="O258" s="108" t="str">
        <f>IF(NOT(ISNUMBER(Dashboard!$B$11)),"",IF(AND(Dashboard!$B$11&gt;0,$N258=MIN($N$2:$N$300)),"Closest same-material reference",""))</f>
        <v/>
      </c>
      <c r="P258" s="108" t="str">
        <f>IF(AND($A258=Dashboard!$B$8,$C258='Calc Engine'!$B$5,$E258&lt;&gt;""),$E258,"")</f>
        <v/>
      </c>
      <c r="Q258" s="108">
        <f>IF(NOT(ISNUMBER(Dashboard!$B$11)),-999,IF(AND($P258&lt;&gt;"",Dashboard!$B$11&gt;0,$P258&lt;=Dashboard!$B$11),$P258,-999))</f>
        <v>-999</v>
      </c>
      <c r="R258" s="108">
        <f>IF(NOT(ISNUMBER(Dashboard!$B$11)),999,IF(AND($P258&lt;&gt;"",Dashboard!$B$11&gt;0,$P258&gt;=Dashboard!$B$11),$P258,999))</f>
        <v>999</v>
      </c>
      <c r="S258" s="108" t="str">
        <f t="shared" ref="S258:S289" si="4">IF($P258="","",$D258)</f>
        <v/>
      </c>
    </row>
    <row r="259" spans="1:19" ht="27.4" customHeight="1">
      <c r="A259" s="1" t="s">
        <v>21</v>
      </c>
      <c r="B259" s="1" t="s">
        <v>3243</v>
      </c>
      <c r="C259" s="1">
        <v>300</v>
      </c>
      <c r="D259" s="1">
        <v>15.2</v>
      </c>
      <c r="E259" s="1">
        <v>1.19</v>
      </c>
      <c r="F259" s="1" t="s">
        <v>3010</v>
      </c>
      <c r="G259" s="1" t="s">
        <v>3274</v>
      </c>
      <c r="H259" s="1" t="s">
        <v>2195</v>
      </c>
      <c r="I259" s="1" t="s">
        <v>2195</v>
      </c>
      <c r="J259" s="1" t="s">
        <v>2208</v>
      </c>
      <c r="K259" s="108" t="str">
        <f>IF(AND($A259=Dashboard!$B$8,$C259='Calc Engine'!$B$5),$E259,"")</f>
        <v/>
      </c>
      <c r="L259" s="108">
        <f>IF(NOT(ISNUMBER(Dashboard!$B$11)),999,IF(OR(Dashboard!$B$11&lt;=0,$E259=""),999,ABS($E259-Dashboard!$B$11)))</f>
        <v>0.16000000000000014</v>
      </c>
      <c r="M259" s="108" t="str">
        <f>IF(NOT(ISNUMBER(Dashboard!$B$11)),"",IF(AND(Dashboard!$B$11&gt;0,$L259=MIN($L$2:$L$300)),"Closest overall reference",""))</f>
        <v/>
      </c>
      <c r="N259" s="108">
        <f>IF(NOT(ISNUMBER(Dashboard!$B$11)),999,IF(AND(Dashboard!$B$11&gt;0,$A259=Dashboard!$B$8,$E259&lt;&gt;""),ABS($E259-Dashboard!$B$11),999))</f>
        <v>0.16000000000000014</v>
      </c>
      <c r="O259" s="108" t="str">
        <f>IF(NOT(ISNUMBER(Dashboard!$B$11)),"",IF(AND(Dashboard!$B$11&gt;0,$N259=MIN($N$2:$N$300)),"Closest same-material reference",""))</f>
        <v/>
      </c>
      <c r="P259" s="108" t="str">
        <f>IF(AND($A259=Dashboard!$B$8,$C259='Calc Engine'!$B$5,$E259&lt;&gt;""),$E259,"")</f>
        <v/>
      </c>
      <c r="Q259" s="108">
        <f>IF(NOT(ISNUMBER(Dashboard!$B$11)),-999,IF(AND($P259&lt;&gt;"",Dashboard!$B$11&gt;0,$P259&lt;=Dashboard!$B$11),$P259,-999))</f>
        <v>-999</v>
      </c>
      <c r="R259" s="108">
        <f>IF(NOT(ISNUMBER(Dashboard!$B$11)),999,IF(AND($P259&lt;&gt;"",Dashboard!$B$11&gt;0,$P259&gt;=Dashboard!$B$11),$P259,999))</f>
        <v>999</v>
      </c>
      <c r="S259" s="108" t="str">
        <f t="shared" si="4"/>
        <v/>
      </c>
    </row>
    <row r="260" spans="1:19" ht="41.1" customHeight="1">
      <c r="A260" s="1" t="s">
        <v>21</v>
      </c>
      <c r="B260" s="1" t="s">
        <v>3012</v>
      </c>
      <c r="C260" s="1">
        <v>300</v>
      </c>
      <c r="D260" s="1">
        <v>12.725</v>
      </c>
      <c r="E260" s="1">
        <v>1.155</v>
      </c>
      <c r="F260" s="1" t="s">
        <v>3013</v>
      </c>
      <c r="G260" s="1" t="s">
        <v>3275</v>
      </c>
      <c r="H260" s="1" t="s">
        <v>2195</v>
      </c>
      <c r="I260" s="1" t="s">
        <v>2195</v>
      </c>
      <c r="J260" s="1" t="s">
        <v>2208</v>
      </c>
      <c r="K260" s="108" t="str">
        <f>IF(AND($A260=Dashboard!$B$8,$C260='Calc Engine'!$B$5),$E260,"")</f>
        <v/>
      </c>
      <c r="L260" s="108">
        <f>IF(NOT(ISNUMBER(Dashboard!$B$11)),999,IF(OR(Dashboard!$B$11&lt;=0,$E260=""),999,ABS($E260-Dashboard!$B$11)))</f>
        <v>0.19500000000000006</v>
      </c>
      <c r="M260" s="108" t="str">
        <f>IF(NOT(ISNUMBER(Dashboard!$B$11)),"",IF(AND(Dashboard!$B$11&gt;0,$L260=MIN($L$2:$L$300)),"Closest overall reference",""))</f>
        <v/>
      </c>
      <c r="N260" s="108">
        <f>IF(NOT(ISNUMBER(Dashboard!$B$11)),999,IF(AND(Dashboard!$B$11&gt;0,$A260=Dashboard!$B$8,$E260&lt;&gt;""),ABS($E260-Dashboard!$B$11),999))</f>
        <v>0.19500000000000006</v>
      </c>
      <c r="O260" s="108" t="str">
        <f>IF(NOT(ISNUMBER(Dashboard!$B$11)),"",IF(AND(Dashboard!$B$11&gt;0,$N260=MIN($N$2:$N$300)),"Closest same-material reference",""))</f>
        <v/>
      </c>
      <c r="P260" s="108" t="str">
        <f>IF(AND($A260=Dashboard!$B$8,$C260='Calc Engine'!$B$5,$E260&lt;&gt;""),$E260,"")</f>
        <v/>
      </c>
      <c r="Q260" s="108">
        <f>IF(NOT(ISNUMBER(Dashboard!$B$11)),-999,IF(AND($P260&lt;&gt;"",Dashboard!$B$11&gt;0,$P260&lt;=Dashboard!$B$11),$P260,-999))</f>
        <v>-999</v>
      </c>
      <c r="R260" s="108">
        <f>IF(NOT(ISNUMBER(Dashboard!$B$11)),999,IF(AND($P260&lt;&gt;"",Dashboard!$B$11&gt;0,$P260&gt;=Dashboard!$B$11),$P260,999))</f>
        <v>999</v>
      </c>
      <c r="S260" s="108" t="str">
        <f t="shared" si="4"/>
        <v/>
      </c>
    </row>
    <row r="261" spans="1:19" ht="54.75" customHeight="1">
      <c r="A261" s="1" t="s">
        <v>21</v>
      </c>
      <c r="B261" s="1" t="s">
        <v>3015</v>
      </c>
      <c r="C261" s="1">
        <v>300</v>
      </c>
      <c r="D261" s="1">
        <v>10.8</v>
      </c>
      <c r="E261" s="1">
        <v>1.125</v>
      </c>
      <c r="F261" s="1" t="s">
        <v>3016</v>
      </c>
      <c r="G261" s="1" t="s">
        <v>3276</v>
      </c>
      <c r="H261" s="1" t="s">
        <v>2195</v>
      </c>
      <c r="I261" s="1" t="s">
        <v>2195</v>
      </c>
      <c r="J261" s="1" t="s">
        <v>2208</v>
      </c>
      <c r="K261" s="108" t="str">
        <f>IF(AND($A261=Dashboard!$B$8,$C261='Calc Engine'!$B$5),$E261,"")</f>
        <v/>
      </c>
      <c r="L261" s="108">
        <f>IF(NOT(ISNUMBER(Dashboard!$B$11)),999,IF(OR(Dashboard!$B$11&lt;=0,$E261=""),999,ABS($E261-Dashboard!$B$11)))</f>
        <v>0.22500000000000009</v>
      </c>
      <c r="M261" s="108" t="str">
        <f>IF(NOT(ISNUMBER(Dashboard!$B$11)),"",IF(AND(Dashboard!$B$11&gt;0,$L261=MIN($L$2:$L$300)),"Closest overall reference",""))</f>
        <v/>
      </c>
      <c r="N261" s="108">
        <f>IF(NOT(ISNUMBER(Dashboard!$B$11)),999,IF(AND(Dashboard!$B$11&gt;0,$A261=Dashboard!$B$8,$E261&lt;&gt;""),ABS($E261-Dashboard!$B$11),999))</f>
        <v>0.22500000000000009</v>
      </c>
      <c r="O261" s="108" t="str">
        <f>IF(NOT(ISNUMBER(Dashboard!$B$11)),"",IF(AND(Dashboard!$B$11&gt;0,$N261=MIN($N$2:$N$300)),"Closest same-material reference",""))</f>
        <v/>
      </c>
      <c r="P261" s="108" t="str">
        <f>IF(AND($A261=Dashboard!$B$8,$C261='Calc Engine'!$B$5,$E261&lt;&gt;""),$E261,"")</f>
        <v/>
      </c>
      <c r="Q261" s="108">
        <f>IF(NOT(ISNUMBER(Dashboard!$B$11)),-999,IF(AND($P261&lt;&gt;"",Dashboard!$B$11&gt;0,$P261&lt;=Dashboard!$B$11),$P261,-999))</f>
        <v>-999</v>
      </c>
      <c r="R261" s="108">
        <f>IF(NOT(ISNUMBER(Dashboard!$B$11)),999,IF(AND($P261&lt;&gt;"",Dashboard!$B$11&gt;0,$P261&gt;=Dashboard!$B$11),$P261,999))</f>
        <v>999</v>
      </c>
      <c r="S261" s="108" t="str">
        <f t="shared" si="4"/>
        <v/>
      </c>
    </row>
    <row r="262" spans="1:19" ht="27.4" customHeight="1">
      <c r="A262" s="1" t="s">
        <v>21</v>
      </c>
      <c r="B262" s="1" t="s">
        <v>2180</v>
      </c>
      <c r="C262" s="1">
        <v>400</v>
      </c>
      <c r="D262" s="1">
        <v>12.5</v>
      </c>
      <c r="E262" s="1">
        <v>1.095</v>
      </c>
      <c r="F262" s="1" t="s">
        <v>3010</v>
      </c>
      <c r="G262" s="1" t="s">
        <v>3277</v>
      </c>
      <c r="H262" s="1" t="s">
        <v>2195</v>
      </c>
      <c r="I262" s="1" t="s">
        <v>2195</v>
      </c>
      <c r="J262" s="1" t="s">
        <v>2208</v>
      </c>
      <c r="K262" s="108" t="str">
        <f>IF(AND($A262=Dashboard!$B$8,$C262='Calc Engine'!$B$5),$E262,"")</f>
        <v/>
      </c>
      <c r="L262" s="108">
        <f>IF(NOT(ISNUMBER(Dashboard!$B$11)),999,IF(OR(Dashboard!$B$11&lt;=0,$E262=""),999,ABS($E262-Dashboard!$B$11)))</f>
        <v>0.25500000000000012</v>
      </c>
      <c r="M262" s="108" t="str">
        <f>IF(NOT(ISNUMBER(Dashboard!$B$11)),"",IF(AND(Dashboard!$B$11&gt;0,$L262=MIN($L$2:$L$300)),"Closest overall reference",""))</f>
        <v/>
      </c>
      <c r="N262" s="108">
        <f>IF(NOT(ISNUMBER(Dashboard!$B$11)),999,IF(AND(Dashboard!$B$11&gt;0,$A262=Dashboard!$B$8,$E262&lt;&gt;""),ABS($E262-Dashboard!$B$11),999))</f>
        <v>0.25500000000000012</v>
      </c>
      <c r="O262" s="108" t="str">
        <f>IF(NOT(ISNUMBER(Dashboard!$B$11)),"",IF(AND(Dashboard!$B$11&gt;0,$N262=MIN($N$2:$N$300)),"Closest same-material reference",""))</f>
        <v/>
      </c>
      <c r="P262" s="108" t="str">
        <f>IF(AND($A262=Dashboard!$B$8,$C262='Calc Engine'!$B$5,$E262&lt;&gt;""),$E262,"")</f>
        <v/>
      </c>
      <c r="Q262" s="108">
        <f>IF(NOT(ISNUMBER(Dashboard!$B$11)),-999,IF(AND($P262&lt;&gt;"",Dashboard!$B$11&gt;0,$P262&lt;=Dashboard!$B$11),$P262,-999))</f>
        <v>-999</v>
      </c>
      <c r="R262" s="108">
        <f>IF(NOT(ISNUMBER(Dashboard!$B$11)),999,IF(AND($P262&lt;&gt;"",Dashboard!$B$11&gt;0,$P262&gt;=Dashboard!$B$11),$P262,999))</f>
        <v>999</v>
      </c>
      <c r="S262" s="108" t="str">
        <f t="shared" si="4"/>
        <v/>
      </c>
    </row>
    <row r="263" spans="1:19" ht="27.4" customHeight="1">
      <c r="A263" s="1" t="s">
        <v>21</v>
      </c>
      <c r="B263" s="1" t="s">
        <v>2187</v>
      </c>
      <c r="C263" s="1">
        <v>400</v>
      </c>
      <c r="D263" s="1">
        <v>13.8</v>
      </c>
      <c r="E263" s="1">
        <v>1.1160000000000001</v>
      </c>
      <c r="F263" s="1" t="s">
        <v>3010</v>
      </c>
      <c r="G263" s="1" t="s">
        <v>3278</v>
      </c>
      <c r="H263" s="1" t="s">
        <v>2195</v>
      </c>
      <c r="I263" s="1" t="s">
        <v>2195</v>
      </c>
      <c r="J263" s="1" t="s">
        <v>2208</v>
      </c>
      <c r="K263" s="108" t="str">
        <f>IF(AND($A263=Dashboard!$B$8,$C263='Calc Engine'!$B$5),$E263,"")</f>
        <v/>
      </c>
      <c r="L263" s="108">
        <f>IF(NOT(ISNUMBER(Dashboard!$B$11)),999,IF(OR(Dashboard!$B$11&lt;=0,$E263=""),999,ABS($E263-Dashboard!$B$11)))</f>
        <v>0.23399999999999999</v>
      </c>
      <c r="M263" s="108" t="str">
        <f>IF(NOT(ISNUMBER(Dashboard!$B$11)),"",IF(AND(Dashboard!$B$11&gt;0,$L263=MIN($L$2:$L$300)),"Closest overall reference",""))</f>
        <v/>
      </c>
      <c r="N263" s="108">
        <f>IF(NOT(ISNUMBER(Dashboard!$B$11)),999,IF(AND(Dashboard!$B$11&gt;0,$A263=Dashboard!$B$8,$E263&lt;&gt;""),ABS($E263-Dashboard!$B$11),999))</f>
        <v>0.23399999999999999</v>
      </c>
      <c r="O263" s="108" t="str">
        <f>IF(NOT(ISNUMBER(Dashboard!$B$11)),"",IF(AND(Dashboard!$B$11&gt;0,$N263=MIN($N$2:$N$300)),"Closest same-material reference",""))</f>
        <v/>
      </c>
      <c r="P263" s="108" t="str">
        <f>IF(AND($A263=Dashboard!$B$8,$C263='Calc Engine'!$B$5,$E263&lt;&gt;""),$E263,"")</f>
        <v/>
      </c>
      <c r="Q263" s="108">
        <f>IF(NOT(ISNUMBER(Dashboard!$B$11)),-999,IF(AND($P263&lt;&gt;"",Dashboard!$B$11&gt;0,$P263&lt;=Dashboard!$B$11),$P263,-999))</f>
        <v>-999</v>
      </c>
      <c r="R263" s="108">
        <f>IF(NOT(ISNUMBER(Dashboard!$B$11)),999,IF(AND($P263&lt;&gt;"",Dashboard!$B$11&gt;0,$P263&gt;=Dashboard!$B$11),$P263,999))</f>
        <v>999</v>
      </c>
      <c r="S263" s="108" t="str">
        <f t="shared" si="4"/>
        <v/>
      </c>
    </row>
    <row r="264" spans="1:19" ht="27.4" customHeight="1">
      <c r="A264" s="1" t="s">
        <v>21</v>
      </c>
      <c r="B264" s="1" t="s">
        <v>2193</v>
      </c>
      <c r="C264" s="1">
        <v>400</v>
      </c>
      <c r="D264" s="1">
        <v>15</v>
      </c>
      <c r="E264" s="1">
        <v>1.133</v>
      </c>
      <c r="F264" s="1" t="s">
        <v>3010</v>
      </c>
      <c r="G264" s="1" t="s">
        <v>3279</v>
      </c>
      <c r="H264" s="1" t="s">
        <v>2195</v>
      </c>
      <c r="I264" s="1" t="s">
        <v>2195</v>
      </c>
      <c r="J264" s="1" t="s">
        <v>2208</v>
      </c>
      <c r="K264" s="108" t="str">
        <f>IF(AND($A264=Dashboard!$B$8,$C264='Calc Engine'!$B$5),$E264,"")</f>
        <v/>
      </c>
      <c r="L264" s="108">
        <f>IF(NOT(ISNUMBER(Dashboard!$B$11)),999,IF(OR(Dashboard!$B$11&lt;=0,$E264=""),999,ABS($E264-Dashboard!$B$11)))</f>
        <v>0.21700000000000008</v>
      </c>
      <c r="M264" s="108" t="str">
        <f>IF(NOT(ISNUMBER(Dashboard!$B$11)),"",IF(AND(Dashboard!$B$11&gt;0,$L264=MIN($L$2:$L$300)),"Closest overall reference",""))</f>
        <v/>
      </c>
      <c r="N264" s="108">
        <f>IF(NOT(ISNUMBER(Dashboard!$B$11)),999,IF(AND(Dashboard!$B$11&gt;0,$A264=Dashboard!$B$8,$E264&lt;&gt;""),ABS($E264-Dashboard!$B$11),999))</f>
        <v>0.21700000000000008</v>
      </c>
      <c r="O264" s="108" t="str">
        <f>IF(NOT(ISNUMBER(Dashboard!$B$11)),"",IF(AND(Dashboard!$B$11&gt;0,$N264=MIN($N$2:$N$300)),"Closest same-material reference",""))</f>
        <v/>
      </c>
      <c r="P264" s="108" t="str">
        <f>IF(AND($A264=Dashboard!$B$8,$C264='Calc Engine'!$B$5,$E264&lt;&gt;""),$E264,"")</f>
        <v/>
      </c>
      <c r="Q264" s="108">
        <f>IF(NOT(ISNUMBER(Dashboard!$B$11)),-999,IF(AND($P264&lt;&gt;"",Dashboard!$B$11&gt;0,$P264&lt;=Dashboard!$B$11),$P264,-999))</f>
        <v>-999</v>
      </c>
      <c r="R264" s="108">
        <f>IF(NOT(ISNUMBER(Dashboard!$B$11)),999,IF(AND($P264&lt;&gt;"",Dashboard!$B$11&gt;0,$P264&gt;=Dashboard!$B$11),$P264,999))</f>
        <v>999</v>
      </c>
      <c r="S264" s="108" t="str">
        <f t="shared" si="4"/>
        <v/>
      </c>
    </row>
    <row r="265" spans="1:19" ht="41.1" customHeight="1">
      <c r="A265" s="1" t="s">
        <v>21</v>
      </c>
      <c r="B265" s="1" t="s">
        <v>3012</v>
      </c>
      <c r="C265" s="1">
        <v>400</v>
      </c>
      <c r="D265" s="1">
        <v>13.766666666666669</v>
      </c>
      <c r="E265" s="1">
        <v>1.1146666666666669</v>
      </c>
      <c r="F265" s="1" t="s">
        <v>3013</v>
      </c>
      <c r="G265" s="1" t="s">
        <v>3280</v>
      </c>
      <c r="H265" s="1" t="s">
        <v>2195</v>
      </c>
      <c r="I265" s="1" t="s">
        <v>2195</v>
      </c>
      <c r="J265" s="1" t="s">
        <v>2208</v>
      </c>
      <c r="K265" s="108" t="str">
        <f>IF(AND($A265=Dashboard!$B$8,$C265='Calc Engine'!$B$5),$E265,"")</f>
        <v/>
      </c>
      <c r="L265" s="108">
        <f>IF(NOT(ISNUMBER(Dashboard!$B$11)),999,IF(OR(Dashboard!$B$11&lt;=0,$E265=""),999,ABS($E265-Dashboard!$B$11)))</f>
        <v>0.23533333333333317</v>
      </c>
      <c r="M265" s="108" t="str">
        <f>IF(NOT(ISNUMBER(Dashboard!$B$11)),"",IF(AND(Dashboard!$B$11&gt;0,$L265=MIN($L$2:$L$300)),"Closest overall reference",""))</f>
        <v/>
      </c>
      <c r="N265" s="108">
        <f>IF(NOT(ISNUMBER(Dashboard!$B$11)),999,IF(AND(Dashboard!$B$11&gt;0,$A265=Dashboard!$B$8,$E265&lt;&gt;""),ABS($E265-Dashboard!$B$11),999))</f>
        <v>0.23533333333333317</v>
      </c>
      <c r="O265" s="108" t="str">
        <f>IF(NOT(ISNUMBER(Dashboard!$B$11)),"",IF(AND(Dashboard!$B$11&gt;0,$N265=MIN($N$2:$N$300)),"Closest same-material reference",""))</f>
        <v/>
      </c>
      <c r="P265" s="108" t="str">
        <f>IF(AND($A265=Dashboard!$B$8,$C265='Calc Engine'!$B$5,$E265&lt;&gt;""),$E265,"")</f>
        <v/>
      </c>
      <c r="Q265" s="108">
        <f>IF(NOT(ISNUMBER(Dashboard!$B$11)),-999,IF(AND($P265&lt;&gt;"",Dashboard!$B$11&gt;0,$P265&lt;=Dashboard!$B$11),$P265,-999))</f>
        <v>-999</v>
      </c>
      <c r="R265" s="108">
        <f>IF(NOT(ISNUMBER(Dashboard!$B$11)),999,IF(AND($P265&lt;&gt;"",Dashboard!$B$11&gt;0,$P265&gt;=Dashboard!$B$11),$P265,999))</f>
        <v>999</v>
      </c>
      <c r="S265" s="108" t="str">
        <f t="shared" si="4"/>
        <v/>
      </c>
    </row>
    <row r="266" spans="1:19" ht="54.75" customHeight="1">
      <c r="A266" s="1" t="s">
        <v>21</v>
      </c>
      <c r="B266" s="1" t="s">
        <v>3015</v>
      </c>
      <c r="C266" s="1">
        <v>400</v>
      </c>
      <c r="D266" s="1">
        <v>12.5</v>
      </c>
      <c r="E266" s="1">
        <v>1.095</v>
      </c>
      <c r="F266" s="1" t="s">
        <v>3016</v>
      </c>
      <c r="G266" s="1" t="s">
        <v>3281</v>
      </c>
      <c r="H266" s="1" t="s">
        <v>2195</v>
      </c>
      <c r="I266" s="1" t="s">
        <v>2195</v>
      </c>
      <c r="J266" s="1" t="s">
        <v>2208</v>
      </c>
      <c r="K266" s="108" t="str">
        <f>IF(AND($A266=Dashboard!$B$8,$C266='Calc Engine'!$B$5),$E266,"")</f>
        <v/>
      </c>
      <c r="L266" s="108">
        <f>IF(NOT(ISNUMBER(Dashboard!$B$11)),999,IF(OR(Dashboard!$B$11&lt;=0,$E266=""),999,ABS($E266-Dashboard!$B$11)))</f>
        <v>0.25500000000000012</v>
      </c>
      <c r="M266" s="108" t="str">
        <f>IF(NOT(ISNUMBER(Dashboard!$B$11)),"",IF(AND(Dashboard!$B$11&gt;0,$L266=MIN($L$2:$L$300)),"Closest overall reference",""))</f>
        <v/>
      </c>
      <c r="N266" s="108">
        <f>IF(NOT(ISNUMBER(Dashboard!$B$11)),999,IF(AND(Dashboard!$B$11&gt;0,$A266=Dashboard!$B$8,$E266&lt;&gt;""),ABS($E266-Dashboard!$B$11),999))</f>
        <v>0.25500000000000012</v>
      </c>
      <c r="O266" s="108" t="str">
        <f>IF(NOT(ISNUMBER(Dashboard!$B$11)),"",IF(AND(Dashboard!$B$11&gt;0,$N266=MIN($N$2:$N$300)),"Closest same-material reference",""))</f>
        <v/>
      </c>
      <c r="P266" s="108" t="str">
        <f>IF(AND($A266=Dashboard!$B$8,$C266='Calc Engine'!$B$5,$E266&lt;&gt;""),$E266,"")</f>
        <v/>
      </c>
      <c r="Q266" s="108">
        <f>IF(NOT(ISNUMBER(Dashboard!$B$11)),-999,IF(AND($P266&lt;&gt;"",Dashboard!$B$11&gt;0,$P266&lt;=Dashboard!$B$11),$P266,-999))</f>
        <v>-999</v>
      </c>
      <c r="R266" s="108">
        <f>IF(NOT(ISNUMBER(Dashboard!$B$11)),999,IF(AND($P266&lt;&gt;"",Dashboard!$B$11&gt;0,$P266&gt;=Dashboard!$B$11),$P266,999))</f>
        <v>999</v>
      </c>
      <c r="S266" s="108" t="str">
        <f t="shared" si="4"/>
        <v/>
      </c>
    </row>
    <row r="267" spans="1:19" ht="123" customHeight="1">
      <c r="A267" s="1" t="s">
        <v>21</v>
      </c>
      <c r="B267" s="1" t="s">
        <v>2180</v>
      </c>
      <c r="C267" s="1">
        <v>350</v>
      </c>
      <c r="D267" s="1">
        <v>11.7</v>
      </c>
      <c r="E267" s="1">
        <v>1.109</v>
      </c>
      <c r="F267" s="1" t="s">
        <v>3282</v>
      </c>
      <c r="G267" s="1" t="s">
        <v>3283</v>
      </c>
      <c r="H267" s="1" t="s">
        <v>2195</v>
      </c>
      <c r="I267" s="1" t="s">
        <v>2195</v>
      </c>
      <c r="J267" s="1" t="s">
        <v>2208</v>
      </c>
      <c r="K267" s="108" t="str">
        <f>IF(AND($A267=Dashboard!$B$8,$C267='Calc Engine'!$B$5),$E267,"")</f>
        <v/>
      </c>
      <c r="L267" s="108">
        <f>IF(NOT(ISNUMBER(Dashboard!$B$11)),999,IF(OR(Dashboard!$B$11&lt;=0,$E267=""),999,ABS($E267-Dashboard!$B$11)))</f>
        <v>0.2410000000000001</v>
      </c>
      <c r="M267" s="108" t="str">
        <f>IF(NOT(ISNUMBER(Dashboard!$B$11)),"",IF(AND(Dashboard!$B$11&gt;0,$L267=MIN($L$2:$L$300)),"Closest overall reference",""))</f>
        <v/>
      </c>
      <c r="N267" s="108">
        <f>IF(NOT(ISNUMBER(Dashboard!$B$11)),999,IF(AND(Dashboard!$B$11&gt;0,$A267=Dashboard!$B$8,$E267&lt;&gt;""),ABS($E267-Dashboard!$B$11),999))</f>
        <v>0.2410000000000001</v>
      </c>
      <c r="O267" s="108" t="str">
        <f>IF(NOT(ISNUMBER(Dashboard!$B$11)),"",IF(AND(Dashboard!$B$11&gt;0,$N267=MIN($N$2:$N$300)),"Closest same-material reference",""))</f>
        <v/>
      </c>
      <c r="P267" s="108" t="str">
        <f>IF(AND($A267=Dashboard!$B$8,$C267='Calc Engine'!$B$5,$E267&lt;&gt;""),$E267,"")</f>
        <v/>
      </c>
      <c r="Q267" s="108">
        <f>IF(NOT(ISNUMBER(Dashboard!$B$11)),-999,IF(AND($P267&lt;&gt;"",Dashboard!$B$11&gt;0,$P267&lt;=Dashboard!$B$11),$P267,-999))</f>
        <v>-999</v>
      </c>
      <c r="R267" s="108">
        <f>IF(NOT(ISNUMBER(Dashboard!$B$11)),999,IF(AND($P267&lt;&gt;"",Dashboard!$B$11&gt;0,$P267&gt;=Dashboard!$B$11),$P267,999))</f>
        <v>999</v>
      </c>
      <c r="S267" s="108" t="str">
        <f t="shared" si="4"/>
        <v/>
      </c>
    </row>
    <row r="268" spans="1:19" ht="27.4" customHeight="1">
      <c r="A268" s="1" t="s">
        <v>21</v>
      </c>
      <c r="B268" s="1" t="s">
        <v>2180</v>
      </c>
      <c r="C268" s="1">
        <v>450</v>
      </c>
      <c r="D268" s="1">
        <v>13.3</v>
      </c>
      <c r="E268" s="1">
        <v>1.0820000000000001</v>
      </c>
      <c r="F268" s="1" t="s">
        <v>3010</v>
      </c>
      <c r="G268" s="1" t="s">
        <v>3284</v>
      </c>
      <c r="H268" s="1" t="s">
        <v>2195</v>
      </c>
      <c r="I268" s="1" t="s">
        <v>2195</v>
      </c>
      <c r="J268" s="1" t="s">
        <v>2208</v>
      </c>
      <c r="K268" s="108" t="str">
        <f>IF(AND($A268=Dashboard!$B$8,$C268='Calc Engine'!$B$5),$E268,"")</f>
        <v/>
      </c>
      <c r="L268" s="108">
        <f>IF(NOT(ISNUMBER(Dashboard!$B$11)),999,IF(OR(Dashboard!$B$11&lt;=0,$E268=""),999,ABS($E268-Dashboard!$B$11)))</f>
        <v>0.26800000000000002</v>
      </c>
      <c r="M268" s="108" t="str">
        <f>IF(NOT(ISNUMBER(Dashboard!$B$11)),"",IF(AND(Dashboard!$B$11&gt;0,$L268=MIN($L$2:$L$300)),"Closest overall reference",""))</f>
        <v/>
      </c>
      <c r="N268" s="108">
        <f>IF(NOT(ISNUMBER(Dashboard!$B$11)),999,IF(AND(Dashboard!$B$11&gt;0,$A268=Dashboard!$B$8,$E268&lt;&gt;""),ABS($E268-Dashboard!$B$11),999))</f>
        <v>0.26800000000000002</v>
      </c>
      <c r="O268" s="108" t="str">
        <f>IF(NOT(ISNUMBER(Dashboard!$B$11)),"",IF(AND(Dashboard!$B$11&gt;0,$N268=MIN($N$2:$N$300)),"Closest same-material reference",""))</f>
        <v/>
      </c>
      <c r="P268" s="108" t="str">
        <f>IF(AND($A268=Dashboard!$B$8,$C268='Calc Engine'!$B$5,$E268&lt;&gt;""),$E268,"")</f>
        <v/>
      </c>
      <c r="Q268" s="108">
        <f>IF(NOT(ISNUMBER(Dashboard!$B$11)),-999,IF(AND($P268&lt;&gt;"",Dashboard!$B$11&gt;0,$P268&lt;=Dashboard!$B$11),$P268,-999))</f>
        <v>-999</v>
      </c>
      <c r="R268" s="108">
        <f>IF(NOT(ISNUMBER(Dashboard!$B$11)),999,IF(AND($P268&lt;&gt;"",Dashboard!$B$11&gt;0,$P268&gt;=Dashboard!$B$11),$P268,999))</f>
        <v>999</v>
      </c>
      <c r="S268" s="108" t="str">
        <f t="shared" si="4"/>
        <v/>
      </c>
    </row>
    <row r="269" spans="1:19" ht="123" customHeight="1">
      <c r="A269" s="1" t="s">
        <v>21</v>
      </c>
      <c r="B269" s="1" t="s">
        <v>2187</v>
      </c>
      <c r="C269" s="1">
        <v>350</v>
      </c>
      <c r="D269" s="1">
        <v>12.8</v>
      </c>
      <c r="E269" s="1">
        <v>1.1279999999999999</v>
      </c>
      <c r="F269" s="1" t="s">
        <v>3282</v>
      </c>
      <c r="G269" s="1" t="s">
        <v>3285</v>
      </c>
      <c r="H269" s="1" t="s">
        <v>2195</v>
      </c>
      <c r="I269" s="1" t="s">
        <v>2195</v>
      </c>
      <c r="J269" s="1" t="s">
        <v>2208</v>
      </c>
      <c r="K269" s="108" t="str">
        <f>IF(AND($A269=Dashboard!$B$8,$C269='Calc Engine'!$B$5),$E269,"")</f>
        <v/>
      </c>
      <c r="L269" s="108">
        <f>IF(NOT(ISNUMBER(Dashboard!$B$11)),999,IF(OR(Dashboard!$B$11&lt;=0,$E269=""),999,ABS($E269-Dashboard!$B$11)))</f>
        <v>0.2220000000000002</v>
      </c>
      <c r="M269" s="108" t="str">
        <f>IF(NOT(ISNUMBER(Dashboard!$B$11)),"",IF(AND(Dashboard!$B$11&gt;0,$L269=MIN($L$2:$L$300)),"Closest overall reference",""))</f>
        <v/>
      </c>
      <c r="N269" s="108">
        <f>IF(NOT(ISNUMBER(Dashboard!$B$11)),999,IF(AND(Dashboard!$B$11&gt;0,$A269=Dashboard!$B$8,$E269&lt;&gt;""),ABS($E269-Dashboard!$B$11),999))</f>
        <v>0.2220000000000002</v>
      </c>
      <c r="O269" s="108" t="str">
        <f>IF(NOT(ISNUMBER(Dashboard!$B$11)),"",IF(AND(Dashboard!$B$11&gt;0,$N269=MIN($N$2:$N$300)),"Closest same-material reference",""))</f>
        <v/>
      </c>
      <c r="P269" s="108" t="str">
        <f>IF(AND($A269=Dashboard!$B$8,$C269='Calc Engine'!$B$5,$E269&lt;&gt;""),$E269,"")</f>
        <v/>
      </c>
      <c r="Q269" s="108">
        <f>IF(NOT(ISNUMBER(Dashboard!$B$11)),-999,IF(AND($P269&lt;&gt;"",Dashboard!$B$11&gt;0,$P269&lt;=Dashboard!$B$11),$P269,-999))</f>
        <v>-999</v>
      </c>
      <c r="R269" s="108">
        <f>IF(NOT(ISNUMBER(Dashboard!$B$11)),999,IF(AND($P269&lt;&gt;"",Dashboard!$B$11&gt;0,$P269&gt;=Dashboard!$B$11),$P269,999))</f>
        <v>999</v>
      </c>
      <c r="S269" s="108" t="str">
        <f t="shared" si="4"/>
        <v/>
      </c>
    </row>
    <row r="270" spans="1:19" ht="27.4" customHeight="1">
      <c r="A270" s="1" t="s">
        <v>21</v>
      </c>
      <c r="B270" s="1" t="s">
        <v>2187</v>
      </c>
      <c r="C270" s="1">
        <v>450</v>
      </c>
      <c r="D270" s="1">
        <v>14.7</v>
      </c>
      <c r="E270" s="1">
        <v>1.1040000000000001</v>
      </c>
      <c r="F270" s="1" t="s">
        <v>3010</v>
      </c>
      <c r="G270" s="1" t="s">
        <v>3286</v>
      </c>
      <c r="H270" s="1" t="s">
        <v>2195</v>
      </c>
      <c r="I270" s="1" t="s">
        <v>2195</v>
      </c>
      <c r="J270" s="1" t="s">
        <v>2208</v>
      </c>
      <c r="K270" s="108" t="str">
        <f>IF(AND($A270=Dashboard!$B$8,$C270='Calc Engine'!$B$5),$E270,"")</f>
        <v/>
      </c>
      <c r="L270" s="108">
        <f>IF(NOT(ISNUMBER(Dashboard!$B$11)),999,IF(OR(Dashboard!$B$11&lt;=0,$E270=""),999,ABS($E270-Dashboard!$B$11)))</f>
        <v>0.246</v>
      </c>
      <c r="M270" s="108" t="str">
        <f>IF(NOT(ISNUMBER(Dashboard!$B$11)),"",IF(AND(Dashboard!$B$11&gt;0,$L270=MIN($L$2:$L$300)),"Closest overall reference",""))</f>
        <v/>
      </c>
      <c r="N270" s="108">
        <f>IF(NOT(ISNUMBER(Dashboard!$B$11)),999,IF(AND(Dashboard!$B$11&gt;0,$A270=Dashboard!$B$8,$E270&lt;&gt;""),ABS($E270-Dashboard!$B$11),999))</f>
        <v>0.246</v>
      </c>
      <c r="O270" s="108" t="str">
        <f>IF(NOT(ISNUMBER(Dashboard!$B$11)),"",IF(AND(Dashboard!$B$11&gt;0,$N270=MIN($N$2:$N$300)),"Closest same-material reference",""))</f>
        <v/>
      </c>
      <c r="P270" s="108" t="str">
        <f>IF(AND($A270=Dashboard!$B$8,$C270='Calc Engine'!$B$5,$E270&lt;&gt;""),$E270,"")</f>
        <v/>
      </c>
      <c r="Q270" s="108">
        <f>IF(NOT(ISNUMBER(Dashboard!$B$11)),-999,IF(AND($P270&lt;&gt;"",Dashboard!$B$11&gt;0,$P270&lt;=Dashboard!$B$11),$P270,-999))</f>
        <v>-999</v>
      </c>
      <c r="R270" s="108">
        <f>IF(NOT(ISNUMBER(Dashboard!$B$11)),999,IF(AND($P270&lt;&gt;"",Dashboard!$B$11&gt;0,$P270&gt;=Dashboard!$B$11),$P270,999))</f>
        <v>999</v>
      </c>
      <c r="S270" s="108" t="str">
        <f t="shared" si="4"/>
        <v/>
      </c>
    </row>
    <row r="271" spans="1:19" ht="123" customHeight="1">
      <c r="A271" s="1" t="s">
        <v>21</v>
      </c>
      <c r="B271" s="1" t="s">
        <v>2193</v>
      </c>
      <c r="C271" s="1">
        <v>350</v>
      </c>
      <c r="D271" s="1">
        <v>14</v>
      </c>
      <c r="E271" s="1">
        <v>1.1459999999999999</v>
      </c>
      <c r="F271" s="1" t="s">
        <v>3282</v>
      </c>
      <c r="G271" s="1" t="s">
        <v>3287</v>
      </c>
      <c r="H271" s="1" t="s">
        <v>2195</v>
      </c>
      <c r="I271" s="1" t="s">
        <v>2195</v>
      </c>
      <c r="J271" s="1" t="s">
        <v>2208</v>
      </c>
      <c r="K271" s="108" t="str">
        <f>IF(AND($A271=Dashboard!$B$8,$C271='Calc Engine'!$B$5),$E271,"")</f>
        <v/>
      </c>
      <c r="L271" s="108">
        <f>IF(NOT(ISNUMBER(Dashboard!$B$11)),999,IF(OR(Dashboard!$B$11&lt;=0,$E271=""),999,ABS($E271-Dashboard!$B$11)))</f>
        <v>0.20400000000000018</v>
      </c>
      <c r="M271" s="108" t="str">
        <f>IF(NOT(ISNUMBER(Dashboard!$B$11)),"",IF(AND(Dashboard!$B$11&gt;0,$L271=MIN($L$2:$L$300)),"Closest overall reference",""))</f>
        <v/>
      </c>
      <c r="N271" s="108">
        <f>IF(NOT(ISNUMBER(Dashboard!$B$11)),999,IF(AND(Dashboard!$B$11&gt;0,$A271=Dashboard!$B$8,$E271&lt;&gt;""),ABS($E271-Dashboard!$B$11),999))</f>
        <v>0.20400000000000018</v>
      </c>
      <c r="O271" s="108" t="str">
        <f>IF(NOT(ISNUMBER(Dashboard!$B$11)),"",IF(AND(Dashboard!$B$11&gt;0,$N271=MIN($N$2:$N$300)),"Closest same-material reference",""))</f>
        <v/>
      </c>
      <c r="P271" s="108" t="str">
        <f>IF(AND($A271=Dashboard!$B$8,$C271='Calc Engine'!$B$5,$E271&lt;&gt;""),$E271,"")</f>
        <v/>
      </c>
      <c r="Q271" s="108">
        <f>IF(NOT(ISNUMBER(Dashboard!$B$11)),-999,IF(AND($P271&lt;&gt;"",Dashboard!$B$11&gt;0,$P271&lt;=Dashboard!$B$11),$P271,-999))</f>
        <v>-999</v>
      </c>
      <c r="R271" s="108">
        <f>IF(NOT(ISNUMBER(Dashboard!$B$11)),999,IF(AND($P271&lt;&gt;"",Dashboard!$B$11&gt;0,$P271&gt;=Dashboard!$B$11),$P271,999))</f>
        <v>999</v>
      </c>
      <c r="S271" s="108" t="str">
        <f t="shared" si="4"/>
        <v/>
      </c>
    </row>
    <row r="272" spans="1:19" ht="27.4" customHeight="1">
      <c r="A272" s="1" t="s">
        <v>21</v>
      </c>
      <c r="B272" s="1" t="s">
        <v>2193</v>
      </c>
      <c r="C272" s="1">
        <v>450</v>
      </c>
      <c r="D272" s="1">
        <v>16</v>
      </c>
      <c r="E272" s="1">
        <v>1.1220000000000001</v>
      </c>
      <c r="F272" s="1" t="s">
        <v>3010</v>
      </c>
      <c r="G272" s="1" t="s">
        <v>3288</v>
      </c>
      <c r="H272" s="1" t="s">
        <v>2195</v>
      </c>
      <c r="I272" s="1" t="s">
        <v>2195</v>
      </c>
      <c r="J272" s="1" t="s">
        <v>2208</v>
      </c>
      <c r="K272" s="108" t="str">
        <f>IF(AND($A272=Dashboard!$B$8,$C272='Calc Engine'!$B$5),$E272,"")</f>
        <v/>
      </c>
      <c r="L272" s="108">
        <f>IF(NOT(ISNUMBER(Dashboard!$B$11)),999,IF(OR(Dashboard!$B$11&lt;=0,$E272=""),999,ABS($E272-Dashboard!$B$11)))</f>
        <v>0.22799999999999998</v>
      </c>
      <c r="M272" s="108" t="str">
        <f>IF(NOT(ISNUMBER(Dashboard!$B$11)),"",IF(AND(Dashboard!$B$11&gt;0,$L272=MIN($L$2:$L$300)),"Closest overall reference",""))</f>
        <v/>
      </c>
      <c r="N272" s="108">
        <f>IF(NOT(ISNUMBER(Dashboard!$B$11)),999,IF(AND(Dashboard!$B$11&gt;0,$A272=Dashboard!$B$8,$E272&lt;&gt;""),ABS($E272-Dashboard!$B$11),999))</f>
        <v>0.22799999999999998</v>
      </c>
      <c r="O272" s="108" t="str">
        <f>IF(NOT(ISNUMBER(Dashboard!$B$11)),"",IF(AND(Dashboard!$B$11&gt;0,$N272=MIN($N$2:$N$300)),"Closest same-material reference",""))</f>
        <v/>
      </c>
      <c r="P272" s="108" t="str">
        <f>IF(AND($A272=Dashboard!$B$8,$C272='Calc Engine'!$B$5,$E272&lt;&gt;""),$E272,"")</f>
        <v/>
      </c>
      <c r="Q272" s="108">
        <f>IF(NOT(ISNUMBER(Dashboard!$B$11)),-999,IF(AND($P272&lt;&gt;"",Dashboard!$B$11&gt;0,$P272&lt;=Dashboard!$B$11),$P272,-999))</f>
        <v>-999</v>
      </c>
      <c r="R272" s="108">
        <f>IF(NOT(ISNUMBER(Dashboard!$B$11)),999,IF(AND($P272&lt;&gt;"",Dashboard!$B$11&gt;0,$P272&gt;=Dashboard!$B$11),$P272,999))</f>
        <v>999</v>
      </c>
      <c r="S272" s="108" t="str">
        <f t="shared" si="4"/>
        <v/>
      </c>
    </row>
    <row r="273" spans="1:19" ht="81.95" customHeight="1">
      <c r="A273" s="1" t="s">
        <v>21</v>
      </c>
      <c r="B273" s="1" t="s">
        <v>3012</v>
      </c>
      <c r="C273" s="1">
        <v>450</v>
      </c>
      <c r="D273" s="1">
        <v>14.66666666666667</v>
      </c>
      <c r="E273" s="1">
        <v>1.1026666666666669</v>
      </c>
      <c r="F273" s="1" t="s">
        <v>3289</v>
      </c>
      <c r="G273" s="1" t="s">
        <v>3290</v>
      </c>
      <c r="H273" s="1" t="s">
        <v>2195</v>
      </c>
      <c r="I273" s="1" t="s">
        <v>2195</v>
      </c>
      <c r="J273" s="1" t="s">
        <v>2208</v>
      </c>
      <c r="K273" s="108" t="str">
        <f>IF(AND($A273=Dashboard!$B$8,$C273='Calc Engine'!$B$5),$E273,"")</f>
        <v/>
      </c>
      <c r="L273" s="108">
        <f>IF(NOT(ISNUMBER(Dashboard!$B$11)),999,IF(OR(Dashboard!$B$11&lt;=0,$E273=""),999,ABS($E273-Dashboard!$B$11)))</f>
        <v>0.24733333333333318</v>
      </c>
      <c r="M273" s="108" t="str">
        <f>IF(NOT(ISNUMBER(Dashboard!$B$11)),"",IF(AND(Dashboard!$B$11&gt;0,$L273=MIN($L$2:$L$300)),"Closest overall reference",""))</f>
        <v/>
      </c>
      <c r="N273" s="108">
        <f>IF(NOT(ISNUMBER(Dashboard!$B$11)),999,IF(AND(Dashboard!$B$11&gt;0,$A273=Dashboard!$B$8,$E273&lt;&gt;""),ABS($E273-Dashboard!$B$11),999))</f>
        <v>0.24733333333333318</v>
      </c>
      <c r="O273" s="108" t="str">
        <f>IF(NOT(ISNUMBER(Dashboard!$B$11)),"",IF(AND(Dashboard!$B$11&gt;0,$N273=MIN($N$2:$N$300)),"Closest same-material reference",""))</f>
        <v/>
      </c>
      <c r="P273" s="108" t="str">
        <f>IF(AND($A273=Dashboard!$B$8,$C273='Calc Engine'!$B$5,$E273&lt;&gt;""),$E273,"")</f>
        <v/>
      </c>
      <c r="Q273" s="108">
        <f>IF(NOT(ISNUMBER(Dashboard!$B$11)),-999,IF(AND($P273&lt;&gt;"",Dashboard!$B$11&gt;0,$P273&lt;=Dashboard!$B$11),$P273,-999))</f>
        <v>-999</v>
      </c>
      <c r="R273" s="108">
        <f>IF(NOT(ISNUMBER(Dashboard!$B$11)),999,IF(AND($P273&lt;&gt;"",Dashboard!$B$11&gt;0,$P273&gt;=Dashboard!$B$11),$P273,999))</f>
        <v>999</v>
      </c>
      <c r="S273" s="108" t="str">
        <f t="shared" si="4"/>
        <v/>
      </c>
    </row>
    <row r="274" spans="1:19" ht="81.95" customHeight="1">
      <c r="A274" s="1" t="s">
        <v>21</v>
      </c>
      <c r="B274" s="1" t="s">
        <v>3015</v>
      </c>
      <c r="C274" s="1">
        <v>450</v>
      </c>
      <c r="D274" s="1">
        <v>13.3</v>
      </c>
      <c r="E274" s="1">
        <v>1.0820000000000001</v>
      </c>
      <c r="F274" s="1" t="s">
        <v>3291</v>
      </c>
      <c r="G274" s="1" t="s">
        <v>3292</v>
      </c>
      <c r="H274" s="1" t="s">
        <v>2195</v>
      </c>
      <c r="I274" s="1" t="s">
        <v>2195</v>
      </c>
      <c r="J274" s="1" t="s">
        <v>2208</v>
      </c>
      <c r="K274" s="108" t="str">
        <f>IF(AND($A274=Dashboard!$B$8,$C274='Calc Engine'!$B$5),$E274,"")</f>
        <v/>
      </c>
      <c r="L274" s="108">
        <f>IF(NOT(ISNUMBER(Dashboard!$B$11)),999,IF(OR(Dashboard!$B$11&lt;=0,$E274=""),999,ABS($E274-Dashboard!$B$11)))</f>
        <v>0.26800000000000002</v>
      </c>
      <c r="M274" s="108" t="str">
        <f>IF(NOT(ISNUMBER(Dashboard!$B$11)),"",IF(AND(Dashboard!$B$11&gt;0,$L274=MIN($L$2:$L$300)),"Closest overall reference",""))</f>
        <v/>
      </c>
      <c r="N274" s="108">
        <f>IF(NOT(ISNUMBER(Dashboard!$B$11)),999,IF(AND(Dashboard!$B$11&gt;0,$A274=Dashboard!$B$8,$E274&lt;&gt;""),ABS($E274-Dashboard!$B$11),999))</f>
        <v>0.26800000000000002</v>
      </c>
      <c r="O274" s="108" t="str">
        <f>IF(NOT(ISNUMBER(Dashboard!$B$11)),"",IF(AND(Dashboard!$B$11&gt;0,$N274=MIN($N$2:$N$300)),"Closest same-material reference",""))</f>
        <v/>
      </c>
      <c r="P274" s="108" t="str">
        <f>IF(AND($A274=Dashboard!$B$8,$C274='Calc Engine'!$B$5,$E274&lt;&gt;""),$E274,"")</f>
        <v/>
      </c>
      <c r="Q274" s="108">
        <f>IF(NOT(ISNUMBER(Dashboard!$B$11)),-999,IF(AND($P274&lt;&gt;"",Dashboard!$B$11&gt;0,$P274&lt;=Dashboard!$B$11),$P274,-999))</f>
        <v>-999</v>
      </c>
      <c r="R274" s="108">
        <f>IF(NOT(ISNUMBER(Dashboard!$B$11)),999,IF(AND($P274&lt;&gt;"",Dashboard!$B$11&gt;0,$P274&gt;=Dashboard!$B$11),$P274,999))</f>
        <v>999</v>
      </c>
      <c r="S274" s="108" t="str">
        <f t="shared" si="4"/>
        <v/>
      </c>
    </row>
    <row r="275" spans="1:19" ht="27.4" customHeight="1">
      <c r="A275" s="1" t="s">
        <v>21</v>
      </c>
      <c r="B275" s="1" t="s">
        <v>2180</v>
      </c>
      <c r="C275" s="1">
        <v>500</v>
      </c>
      <c r="D275" s="1">
        <v>14.2</v>
      </c>
      <c r="E275" s="1">
        <v>1.0740000000000001</v>
      </c>
      <c r="F275" s="1" t="s">
        <v>3010</v>
      </c>
      <c r="G275" s="1" t="s">
        <v>3293</v>
      </c>
      <c r="H275" s="1" t="s">
        <v>2195</v>
      </c>
      <c r="I275" s="1" t="s">
        <v>2195</v>
      </c>
      <c r="J275" s="1" t="s">
        <v>2208</v>
      </c>
      <c r="K275" s="108" t="str">
        <f>IF(AND($A275=Dashboard!$B$8,$C275='Calc Engine'!$B$5),$E275,"")</f>
        <v/>
      </c>
      <c r="L275" s="108">
        <f>IF(NOT(ISNUMBER(Dashboard!$B$11)),999,IF(OR(Dashboard!$B$11&lt;=0,$E275=""),999,ABS($E275-Dashboard!$B$11)))</f>
        <v>0.27600000000000002</v>
      </c>
      <c r="M275" s="108" t="str">
        <f>IF(NOT(ISNUMBER(Dashboard!$B$11)),"",IF(AND(Dashboard!$B$11&gt;0,$L275=MIN($L$2:$L$300)),"Closest overall reference",""))</f>
        <v/>
      </c>
      <c r="N275" s="108">
        <f>IF(NOT(ISNUMBER(Dashboard!$B$11)),999,IF(AND(Dashboard!$B$11&gt;0,$A275=Dashboard!$B$8,$E275&lt;&gt;""),ABS($E275-Dashboard!$B$11),999))</f>
        <v>0.27600000000000002</v>
      </c>
      <c r="O275" s="108" t="str">
        <f>IF(NOT(ISNUMBER(Dashboard!$B$11)),"",IF(AND(Dashboard!$B$11&gt;0,$N275=MIN($N$2:$N$300)),"Closest same-material reference",""))</f>
        <v/>
      </c>
      <c r="P275" s="108" t="str">
        <f>IF(AND($A275=Dashboard!$B$8,$C275='Calc Engine'!$B$5,$E275&lt;&gt;""),$E275,"")</f>
        <v/>
      </c>
      <c r="Q275" s="108">
        <f>IF(NOT(ISNUMBER(Dashboard!$B$11)),-999,IF(AND($P275&lt;&gt;"",Dashboard!$B$11&gt;0,$P275&lt;=Dashboard!$B$11),$P275,-999))</f>
        <v>-999</v>
      </c>
      <c r="R275" s="108">
        <f>IF(NOT(ISNUMBER(Dashboard!$B$11)),999,IF(AND($P275&lt;&gt;"",Dashboard!$B$11&gt;0,$P275&gt;=Dashboard!$B$11),$P275,999))</f>
        <v>999</v>
      </c>
      <c r="S275" s="108" t="str">
        <f t="shared" si="4"/>
        <v/>
      </c>
    </row>
    <row r="276" spans="1:19" ht="27.4" customHeight="1">
      <c r="A276" s="1" t="s">
        <v>21</v>
      </c>
      <c r="B276" s="1" t="s">
        <v>2187</v>
      </c>
      <c r="C276" s="1">
        <v>500</v>
      </c>
      <c r="D276" s="1">
        <v>15.6</v>
      </c>
      <c r="E276" s="1">
        <v>1.0940000000000001</v>
      </c>
      <c r="F276" s="1" t="s">
        <v>3010</v>
      </c>
      <c r="G276" s="1" t="s">
        <v>3294</v>
      </c>
      <c r="H276" s="1" t="s">
        <v>2195</v>
      </c>
      <c r="I276" s="1" t="s">
        <v>2195</v>
      </c>
      <c r="J276" s="1" t="s">
        <v>2208</v>
      </c>
      <c r="K276" s="108" t="str">
        <f>IF(AND($A276=Dashboard!$B$8,$C276='Calc Engine'!$B$5),$E276,"")</f>
        <v/>
      </c>
      <c r="L276" s="108">
        <f>IF(NOT(ISNUMBER(Dashboard!$B$11)),999,IF(OR(Dashboard!$B$11&lt;=0,$E276=""),999,ABS($E276-Dashboard!$B$11)))</f>
        <v>0.25600000000000001</v>
      </c>
      <c r="M276" s="108" t="str">
        <f>IF(NOT(ISNUMBER(Dashboard!$B$11)),"",IF(AND(Dashboard!$B$11&gt;0,$L276=MIN($L$2:$L$300)),"Closest overall reference",""))</f>
        <v/>
      </c>
      <c r="N276" s="108">
        <f>IF(NOT(ISNUMBER(Dashboard!$B$11)),999,IF(AND(Dashboard!$B$11&gt;0,$A276=Dashboard!$B$8,$E276&lt;&gt;""),ABS($E276-Dashboard!$B$11),999))</f>
        <v>0.25600000000000001</v>
      </c>
      <c r="O276" s="108" t="str">
        <f>IF(NOT(ISNUMBER(Dashboard!$B$11)),"",IF(AND(Dashboard!$B$11&gt;0,$N276=MIN($N$2:$N$300)),"Closest same-material reference",""))</f>
        <v/>
      </c>
      <c r="P276" s="108" t="str">
        <f>IF(AND($A276=Dashboard!$B$8,$C276='Calc Engine'!$B$5,$E276&lt;&gt;""),$E276,"")</f>
        <v/>
      </c>
      <c r="Q276" s="108">
        <f>IF(NOT(ISNUMBER(Dashboard!$B$11)),-999,IF(AND($P276&lt;&gt;"",Dashboard!$B$11&gt;0,$P276&lt;=Dashboard!$B$11),$P276,-999))</f>
        <v>-999</v>
      </c>
      <c r="R276" s="108">
        <f>IF(NOT(ISNUMBER(Dashboard!$B$11)),999,IF(AND($P276&lt;&gt;"",Dashboard!$B$11&gt;0,$P276&gt;=Dashboard!$B$11),$P276,999))</f>
        <v>999</v>
      </c>
      <c r="S276" s="108" t="str">
        <f t="shared" si="4"/>
        <v/>
      </c>
    </row>
    <row r="277" spans="1:19" ht="27.4" customHeight="1">
      <c r="A277" s="1" t="s">
        <v>21</v>
      </c>
      <c r="B277" s="1" t="s">
        <v>2193</v>
      </c>
      <c r="C277" s="1">
        <v>500</v>
      </c>
      <c r="D277" s="1">
        <v>17</v>
      </c>
      <c r="E277" s="1">
        <v>1.113</v>
      </c>
      <c r="F277" s="1" t="s">
        <v>3010</v>
      </c>
      <c r="G277" s="1" t="s">
        <v>3295</v>
      </c>
      <c r="H277" s="1" t="s">
        <v>2195</v>
      </c>
      <c r="I277" s="1" t="s">
        <v>2195</v>
      </c>
      <c r="J277" s="1" t="s">
        <v>2208</v>
      </c>
      <c r="K277" s="108" t="str">
        <f>IF(AND($A277=Dashboard!$B$8,$C277='Calc Engine'!$B$5),$E277,"")</f>
        <v/>
      </c>
      <c r="L277" s="108">
        <f>IF(NOT(ISNUMBER(Dashboard!$B$11)),999,IF(OR(Dashboard!$B$11&lt;=0,$E277=""),999,ABS($E277-Dashboard!$B$11)))</f>
        <v>0.2370000000000001</v>
      </c>
      <c r="M277" s="108" t="str">
        <f>IF(NOT(ISNUMBER(Dashboard!$B$11)),"",IF(AND(Dashboard!$B$11&gt;0,$L277=MIN($L$2:$L$300)),"Closest overall reference",""))</f>
        <v/>
      </c>
      <c r="N277" s="108">
        <f>IF(NOT(ISNUMBER(Dashboard!$B$11)),999,IF(AND(Dashboard!$B$11&gt;0,$A277=Dashboard!$B$8,$E277&lt;&gt;""),ABS($E277-Dashboard!$B$11),999))</f>
        <v>0.2370000000000001</v>
      </c>
      <c r="O277" s="108" t="str">
        <f>IF(NOT(ISNUMBER(Dashboard!$B$11)),"",IF(AND(Dashboard!$B$11&gt;0,$N277=MIN($N$2:$N$300)),"Closest same-material reference",""))</f>
        <v/>
      </c>
      <c r="P277" s="108" t="str">
        <f>IF(AND($A277=Dashboard!$B$8,$C277='Calc Engine'!$B$5,$E277&lt;&gt;""),$E277,"")</f>
        <v/>
      </c>
      <c r="Q277" s="108">
        <f>IF(NOT(ISNUMBER(Dashboard!$B$11)),-999,IF(AND($P277&lt;&gt;"",Dashboard!$B$11&gt;0,$P277&lt;=Dashboard!$B$11),$P277,-999))</f>
        <v>-999</v>
      </c>
      <c r="R277" s="108">
        <f>IF(NOT(ISNUMBER(Dashboard!$B$11)),999,IF(AND($P277&lt;&gt;"",Dashboard!$B$11&gt;0,$P277&gt;=Dashboard!$B$11),$P277,999))</f>
        <v>999</v>
      </c>
      <c r="S277" s="108" t="str">
        <f t="shared" si="4"/>
        <v/>
      </c>
    </row>
    <row r="278" spans="1:19" ht="41.1" customHeight="1">
      <c r="A278" s="1" t="s">
        <v>21</v>
      </c>
      <c r="B278" s="1" t="s">
        <v>3012</v>
      </c>
      <c r="C278" s="1">
        <v>500</v>
      </c>
      <c r="D278" s="1">
        <v>15.6</v>
      </c>
      <c r="E278" s="1">
        <v>1.093666666666667</v>
      </c>
      <c r="F278" s="1" t="s">
        <v>3013</v>
      </c>
      <c r="G278" s="1" t="s">
        <v>3296</v>
      </c>
      <c r="H278" s="1" t="s">
        <v>2195</v>
      </c>
      <c r="I278" s="1" t="s">
        <v>2195</v>
      </c>
      <c r="J278" s="1" t="s">
        <v>2208</v>
      </c>
      <c r="K278" s="108" t="str">
        <f>IF(AND($A278=Dashboard!$B$8,$C278='Calc Engine'!$B$5),$E278,"")</f>
        <v/>
      </c>
      <c r="L278" s="108">
        <f>IF(NOT(ISNUMBER(Dashboard!$B$11)),999,IF(OR(Dashboard!$B$11&lt;=0,$E278=""),999,ABS($E278-Dashboard!$B$11)))</f>
        <v>0.25633333333333308</v>
      </c>
      <c r="M278" s="108" t="str">
        <f>IF(NOT(ISNUMBER(Dashboard!$B$11)),"",IF(AND(Dashboard!$B$11&gt;0,$L278=MIN($L$2:$L$300)),"Closest overall reference",""))</f>
        <v/>
      </c>
      <c r="N278" s="108">
        <f>IF(NOT(ISNUMBER(Dashboard!$B$11)),999,IF(AND(Dashboard!$B$11&gt;0,$A278=Dashboard!$B$8,$E278&lt;&gt;""),ABS($E278-Dashboard!$B$11),999))</f>
        <v>0.25633333333333308</v>
      </c>
      <c r="O278" s="108" t="str">
        <f>IF(NOT(ISNUMBER(Dashboard!$B$11)),"",IF(AND(Dashboard!$B$11&gt;0,$N278=MIN($N$2:$N$300)),"Closest same-material reference",""))</f>
        <v/>
      </c>
      <c r="P278" s="108" t="str">
        <f>IF(AND($A278=Dashboard!$B$8,$C278='Calc Engine'!$B$5,$E278&lt;&gt;""),$E278,"")</f>
        <v/>
      </c>
      <c r="Q278" s="108">
        <f>IF(NOT(ISNUMBER(Dashboard!$B$11)),-999,IF(AND($P278&lt;&gt;"",Dashboard!$B$11&gt;0,$P278&lt;=Dashboard!$B$11),$P278,-999))</f>
        <v>-999</v>
      </c>
      <c r="R278" s="108">
        <f>IF(NOT(ISNUMBER(Dashboard!$B$11)),999,IF(AND($P278&lt;&gt;"",Dashboard!$B$11&gt;0,$P278&gt;=Dashboard!$B$11),$P278,999))</f>
        <v>999</v>
      </c>
      <c r="S278" s="108" t="str">
        <f t="shared" si="4"/>
        <v/>
      </c>
    </row>
    <row r="279" spans="1:19" ht="54.75" customHeight="1">
      <c r="A279" s="1" t="s">
        <v>21</v>
      </c>
      <c r="B279" s="1" t="s">
        <v>3015</v>
      </c>
      <c r="C279" s="1">
        <v>500</v>
      </c>
      <c r="D279" s="1">
        <v>14.2</v>
      </c>
      <c r="E279" s="1">
        <v>1.0740000000000001</v>
      </c>
      <c r="F279" s="1" t="s">
        <v>3016</v>
      </c>
      <c r="G279" s="1" t="s">
        <v>3297</v>
      </c>
      <c r="H279" s="1" t="s">
        <v>2195</v>
      </c>
      <c r="I279" s="1" t="s">
        <v>2195</v>
      </c>
      <c r="J279" s="1" t="s">
        <v>2208</v>
      </c>
      <c r="K279" s="108" t="str">
        <f>IF(AND($A279=Dashboard!$B$8,$C279='Calc Engine'!$B$5),$E279,"")</f>
        <v/>
      </c>
      <c r="L279" s="108">
        <f>IF(NOT(ISNUMBER(Dashboard!$B$11)),999,IF(OR(Dashboard!$B$11&lt;=0,$E279=""),999,ABS($E279-Dashboard!$B$11)))</f>
        <v>0.27600000000000002</v>
      </c>
      <c r="M279" s="108" t="str">
        <f>IF(NOT(ISNUMBER(Dashboard!$B$11)),"",IF(AND(Dashboard!$B$11&gt;0,$L279=MIN($L$2:$L$300)),"Closest overall reference",""))</f>
        <v/>
      </c>
      <c r="N279" s="108">
        <f>IF(NOT(ISNUMBER(Dashboard!$B$11)),999,IF(AND(Dashboard!$B$11&gt;0,$A279=Dashboard!$B$8,$E279&lt;&gt;""),ABS($E279-Dashboard!$B$11),999))</f>
        <v>0.27600000000000002</v>
      </c>
      <c r="O279" s="108" t="str">
        <f>IF(NOT(ISNUMBER(Dashboard!$B$11)),"",IF(AND(Dashboard!$B$11&gt;0,$N279=MIN($N$2:$N$300)),"Closest same-material reference",""))</f>
        <v/>
      </c>
      <c r="P279" s="108" t="str">
        <f>IF(AND($A279=Dashboard!$B$8,$C279='Calc Engine'!$B$5,$E279&lt;&gt;""),$E279,"")</f>
        <v/>
      </c>
      <c r="Q279" s="108">
        <f>IF(NOT(ISNUMBER(Dashboard!$B$11)),-999,IF(AND($P279&lt;&gt;"",Dashboard!$B$11&gt;0,$P279&lt;=Dashboard!$B$11),$P279,-999))</f>
        <v>-999</v>
      </c>
      <c r="R279" s="108">
        <f>IF(NOT(ISNUMBER(Dashboard!$B$11)),999,IF(AND($P279&lt;&gt;"",Dashboard!$B$11&gt;0,$P279&gt;=Dashboard!$B$11),$P279,999))</f>
        <v>999</v>
      </c>
      <c r="S279" s="108" t="str">
        <f t="shared" si="4"/>
        <v/>
      </c>
    </row>
    <row r="280" spans="1:19" ht="27.4" customHeight="1">
      <c r="A280" s="1" t="s">
        <v>21</v>
      </c>
      <c r="B280" s="1" t="s">
        <v>2180</v>
      </c>
      <c r="C280" s="1">
        <v>600</v>
      </c>
      <c r="D280" s="1">
        <v>15.8</v>
      </c>
      <c r="E280" s="1">
        <v>1.056</v>
      </c>
      <c r="F280" s="1" t="s">
        <v>3010</v>
      </c>
      <c r="G280" s="1" t="s">
        <v>3298</v>
      </c>
      <c r="H280" s="1" t="s">
        <v>2195</v>
      </c>
      <c r="I280" s="1" t="s">
        <v>2195</v>
      </c>
      <c r="J280" s="1" t="s">
        <v>2208</v>
      </c>
      <c r="K280" s="108" t="str">
        <f>IF(AND($A280=Dashboard!$B$8,$C280='Calc Engine'!$B$5),$E280,"")</f>
        <v/>
      </c>
      <c r="L280" s="108">
        <f>IF(NOT(ISNUMBER(Dashboard!$B$11)),999,IF(OR(Dashboard!$B$11&lt;=0,$E280=""),999,ABS($E280-Dashboard!$B$11)))</f>
        <v>0.29400000000000004</v>
      </c>
      <c r="M280" s="108" t="str">
        <f>IF(NOT(ISNUMBER(Dashboard!$B$11)),"",IF(AND(Dashboard!$B$11&gt;0,$L280=MIN($L$2:$L$300)),"Closest overall reference",""))</f>
        <v/>
      </c>
      <c r="N280" s="108">
        <f>IF(NOT(ISNUMBER(Dashboard!$B$11)),999,IF(AND(Dashboard!$B$11&gt;0,$A280=Dashboard!$B$8,$E280&lt;&gt;""),ABS($E280-Dashboard!$B$11),999))</f>
        <v>0.29400000000000004</v>
      </c>
      <c r="O280" s="108" t="str">
        <f>IF(NOT(ISNUMBER(Dashboard!$B$11)),"",IF(AND(Dashboard!$B$11&gt;0,$N280=MIN($N$2:$N$300)),"Closest same-material reference",""))</f>
        <v/>
      </c>
      <c r="P280" s="108" t="str">
        <f>IF(AND($A280=Dashboard!$B$8,$C280='Calc Engine'!$B$5,$E280&lt;&gt;""),$E280,"")</f>
        <v/>
      </c>
      <c r="Q280" s="108">
        <f>IF(NOT(ISNUMBER(Dashboard!$B$11)),-999,IF(AND($P280&lt;&gt;"",Dashboard!$B$11&gt;0,$P280&lt;=Dashboard!$B$11),$P280,-999))</f>
        <v>-999</v>
      </c>
      <c r="R280" s="108">
        <f>IF(NOT(ISNUMBER(Dashboard!$B$11)),999,IF(AND($P280&lt;&gt;"",Dashboard!$B$11&gt;0,$P280&gt;=Dashboard!$B$11),$P280,999))</f>
        <v>999</v>
      </c>
      <c r="S280" s="108" t="str">
        <f t="shared" si="4"/>
        <v/>
      </c>
    </row>
    <row r="281" spans="1:19" ht="27.4" customHeight="1">
      <c r="A281" s="1" t="s">
        <v>21</v>
      </c>
      <c r="B281" s="1" t="s">
        <v>2187</v>
      </c>
      <c r="C281" s="1">
        <v>600</v>
      </c>
      <c r="D281" s="1">
        <v>17.399999999999999</v>
      </c>
      <c r="E281" s="1">
        <v>1.0780000000000001</v>
      </c>
      <c r="F281" s="1" t="s">
        <v>3010</v>
      </c>
      <c r="G281" s="1" t="s">
        <v>3299</v>
      </c>
      <c r="H281" s="1" t="s">
        <v>2195</v>
      </c>
      <c r="I281" s="1" t="s">
        <v>2195</v>
      </c>
      <c r="J281" s="1" t="s">
        <v>2208</v>
      </c>
      <c r="K281" s="108" t="str">
        <f>IF(AND($A281=Dashboard!$B$8,$C281='Calc Engine'!$B$5),$E281,"")</f>
        <v/>
      </c>
      <c r="L281" s="108">
        <f>IF(NOT(ISNUMBER(Dashboard!$B$11)),999,IF(OR(Dashboard!$B$11&lt;=0,$E281=""),999,ABS($E281-Dashboard!$B$11)))</f>
        <v>0.27200000000000002</v>
      </c>
      <c r="M281" s="108" t="str">
        <f>IF(NOT(ISNUMBER(Dashboard!$B$11)),"",IF(AND(Dashboard!$B$11&gt;0,$L281=MIN($L$2:$L$300)),"Closest overall reference",""))</f>
        <v/>
      </c>
      <c r="N281" s="108">
        <f>IF(NOT(ISNUMBER(Dashboard!$B$11)),999,IF(AND(Dashboard!$B$11&gt;0,$A281=Dashboard!$B$8,$E281&lt;&gt;""),ABS($E281-Dashboard!$B$11),999))</f>
        <v>0.27200000000000002</v>
      </c>
      <c r="O281" s="108" t="str">
        <f>IF(NOT(ISNUMBER(Dashboard!$B$11)),"",IF(AND(Dashboard!$B$11&gt;0,$N281=MIN($N$2:$N$300)),"Closest same-material reference",""))</f>
        <v/>
      </c>
      <c r="P281" s="108" t="str">
        <f>IF(AND($A281=Dashboard!$B$8,$C281='Calc Engine'!$B$5,$E281&lt;&gt;""),$E281,"")</f>
        <v/>
      </c>
      <c r="Q281" s="108">
        <f>IF(NOT(ISNUMBER(Dashboard!$B$11)),-999,IF(AND($P281&lt;&gt;"",Dashboard!$B$11&gt;0,$P281&lt;=Dashboard!$B$11),$P281,-999))</f>
        <v>-999</v>
      </c>
      <c r="R281" s="108">
        <f>IF(NOT(ISNUMBER(Dashboard!$B$11)),999,IF(AND($P281&lt;&gt;"",Dashboard!$B$11&gt;0,$P281&gt;=Dashboard!$B$11),$P281,999))</f>
        <v>999</v>
      </c>
      <c r="S281" s="108" t="str">
        <f t="shared" si="4"/>
        <v/>
      </c>
    </row>
    <row r="282" spans="1:19" ht="27.4" customHeight="1">
      <c r="A282" s="1" t="s">
        <v>21</v>
      </c>
      <c r="B282" s="1" t="s">
        <v>2193</v>
      </c>
      <c r="C282" s="1">
        <v>600</v>
      </c>
      <c r="D282" s="1">
        <v>19</v>
      </c>
      <c r="E282" s="1">
        <v>1.0980000000000001</v>
      </c>
      <c r="F282" s="1" t="s">
        <v>3010</v>
      </c>
      <c r="G282" s="1" t="s">
        <v>3300</v>
      </c>
      <c r="H282" s="1" t="s">
        <v>2195</v>
      </c>
      <c r="I282" s="1" t="s">
        <v>2195</v>
      </c>
      <c r="J282" s="1" t="s">
        <v>2208</v>
      </c>
      <c r="K282" s="108" t="str">
        <f>IF(AND($A282=Dashboard!$B$8,$C282='Calc Engine'!$B$5),$E282,"")</f>
        <v/>
      </c>
      <c r="L282" s="108">
        <f>IF(NOT(ISNUMBER(Dashboard!$B$11)),999,IF(OR(Dashboard!$B$11&lt;=0,$E282=""),999,ABS($E282-Dashboard!$B$11)))</f>
        <v>0.252</v>
      </c>
      <c r="M282" s="108" t="str">
        <f>IF(NOT(ISNUMBER(Dashboard!$B$11)),"",IF(AND(Dashboard!$B$11&gt;0,$L282=MIN($L$2:$L$300)),"Closest overall reference",""))</f>
        <v/>
      </c>
      <c r="N282" s="108">
        <f>IF(NOT(ISNUMBER(Dashboard!$B$11)),999,IF(AND(Dashboard!$B$11&gt;0,$A282=Dashboard!$B$8,$E282&lt;&gt;""),ABS($E282-Dashboard!$B$11),999))</f>
        <v>0.252</v>
      </c>
      <c r="O282" s="108" t="str">
        <f>IF(NOT(ISNUMBER(Dashboard!$B$11)),"",IF(AND(Dashboard!$B$11&gt;0,$N282=MIN($N$2:$N$300)),"Closest same-material reference",""))</f>
        <v/>
      </c>
      <c r="P282" s="108" t="str">
        <f>IF(AND($A282=Dashboard!$B$8,$C282='Calc Engine'!$B$5,$E282&lt;&gt;""),$E282,"")</f>
        <v/>
      </c>
      <c r="Q282" s="108">
        <f>IF(NOT(ISNUMBER(Dashboard!$B$11)),-999,IF(AND($P282&lt;&gt;"",Dashboard!$B$11&gt;0,$P282&lt;=Dashboard!$B$11),$P282,-999))</f>
        <v>-999</v>
      </c>
      <c r="R282" s="108">
        <f>IF(NOT(ISNUMBER(Dashboard!$B$11)),999,IF(AND($P282&lt;&gt;"",Dashboard!$B$11&gt;0,$P282&gt;=Dashboard!$B$11),$P282,999))</f>
        <v>999</v>
      </c>
      <c r="S282" s="108" t="str">
        <f t="shared" si="4"/>
        <v/>
      </c>
    </row>
    <row r="283" spans="1:19" ht="41.1" customHeight="1">
      <c r="A283" s="1" t="s">
        <v>21</v>
      </c>
      <c r="B283" s="1" t="s">
        <v>3012</v>
      </c>
      <c r="C283" s="1">
        <v>600</v>
      </c>
      <c r="D283" s="1">
        <v>17.399999999999999</v>
      </c>
      <c r="E283" s="1">
        <v>1.077333333333333</v>
      </c>
      <c r="F283" s="1" t="s">
        <v>3013</v>
      </c>
      <c r="G283" s="1" t="s">
        <v>3301</v>
      </c>
      <c r="H283" s="1" t="s">
        <v>2195</v>
      </c>
      <c r="I283" s="1" t="s">
        <v>2195</v>
      </c>
      <c r="J283" s="1" t="s">
        <v>2208</v>
      </c>
      <c r="K283" s="108" t="str">
        <f>IF(AND($A283=Dashboard!$B$8,$C283='Calc Engine'!$B$5),$E283,"")</f>
        <v/>
      </c>
      <c r="L283" s="108">
        <f>IF(NOT(ISNUMBER(Dashboard!$B$11)),999,IF(OR(Dashboard!$B$11&lt;=0,$E283=""),999,ABS($E283-Dashboard!$B$11)))</f>
        <v>0.27266666666666706</v>
      </c>
      <c r="M283" s="108" t="str">
        <f>IF(NOT(ISNUMBER(Dashboard!$B$11)),"",IF(AND(Dashboard!$B$11&gt;0,$L283=MIN($L$2:$L$300)),"Closest overall reference",""))</f>
        <v/>
      </c>
      <c r="N283" s="108">
        <f>IF(NOT(ISNUMBER(Dashboard!$B$11)),999,IF(AND(Dashboard!$B$11&gt;0,$A283=Dashboard!$B$8,$E283&lt;&gt;""),ABS($E283-Dashboard!$B$11),999))</f>
        <v>0.27266666666666706</v>
      </c>
      <c r="O283" s="108" t="str">
        <f>IF(NOT(ISNUMBER(Dashboard!$B$11)),"",IF(AND(Dashboard!$B$11&gt;0,$N283=MIN($N$2:$N$300)),"Closest same-material reference",""))</f>
        <v/>
      </c>
      <c r="P283" s="108" t="str">
        <f>IF(AND($A283=Dashboard!$B$8,$C283='Calc Engine'!$B$5,$E283&lt;&gt;""),$E283,"")</f>
        <v/>
      </c>
      <c r="Q283" s="108">
        <f>IF(NOT(ISNUMBER(Dashboard!$B$11)),-999,IF(AND($P283&lt;&gt;"",Dashboard!$B$11&gt;0,$P283&lt;=Dashboard!$B$11),$P283,-999))</f>
        <v>-999</v>
      </c>
      <c r="R283" s="108">
        <f>IF(NOT(ISNUMBER(Dashboard!$B$11)),999,IF(AND($P283&lt;&gt;"",Dashboard!$B$11&gt;0,$P283&gt;=Dashboard!$B$11),$P283,999))</f>
        <v>999</v>
      </c>
      <c r="S283" s="108" t="str">
        <f t="shared" si="4"/>
        <v/>
      </c>
    </row>
    <row r="284" spans="1:19" ht="54.75" customHeight="1">
      <c r="A284" s="1" t="s">
        <v>21</v>
      </c>
      <c r="B284" s="1" t="s">
        <v>3015</v>
      </c>
      <c r="C284" s="1">
        <v>600</v>
      </c>
      <c r="D284" s="1">
        <v>15.8</v>
      </c>
      <c r="E284" s="1">
        <v>1.056</v>
      </c>
      <c r="F284" s="1" t="s">
        <v>3016</v>
      </c>
      <c r="G284" s="1" t="s">
        <v>3302</v>
      </c>
      <c r="H284" s="1" t="s">
        <v>2195</v>
      </c>
      <c r="I284" s="1" t="s">
        <v>2195</v>
      </c>
      <c r="J284" s="1" t="s">
        <v>2208</v>
      </c>
      <c r="K284" s="108" t="str">
        <f>IF(AND($A284=Dashboard!$B$8,$C284='Calc Engine'!$B$5),$E284,"")</f>
        <v/>
      </c>
      <c r="L284" s="108">
        <f>IF(NOT(ISNUMBER(Dashboard!$B$11)),999,IF(OR(Dashboard!$B$11&lt;=0,$E284=""),999,ABS($E284-Dashboard!$B$11)))</f>
        <v>0.29400000000000004</v>
      </c>
      <c r="M284" s="108" t="str">
        <f>IF(NOT(ISNUMBER(Dashboard!$B$11)),"",IF(AND(Dashboard!$B$11&gt;0,$L284=MIN($L$2:$L$300)),"Closest overall reference",""))</f>
        <v/>
      </c>
      <c r="N284" s="108">
        <f>IF(NOT(ISNUMBER(Dashboard!$B$11)),999,IF(AND(Dashboard!$B$11&gt;0,$A284=Dashboard!$B$8,$E284&lt;&gt;""),ABS($E284-Dashboard!$B$11),999))</f>
        <v>0.29400000000000004</v>
      </c>
      <c r="O284" s="108" t="str">
        <f>IF(NOT(ISNUMBER(Dashboard!$B$11)),"",IF(AND(Dashboard!$B$11&gt;0,$N284=MIN($N$2:$N$300)),"Closest same-material reference",""))</f>
        <v/>
      </c>
      <c r="P284" s="108" t="str">
        <f>IF(AND($A284=Dashboard!$B$8,$C284='Calc Engine'!$B$5,$E284&lt;&gt;""),$E284,"")</f>
        <v/>
      </c>
      <c r="Q284" s="108">
        <f>IF(NOT(ISNUMBER(Dashboard!$B$11)),-999,IF(AND($P284&lt;&gt;"",Dashboard!$B$11&gt;0,$P284&lt;=Dashboard!$B$11),$P284,-999))</f>
        <v>-999</v>
      </c>
      <c r="R284" s="108">
        <f>IF(NOT(ISNUMBER(Dashboard!$B$11)),999,IF(AND($P284&lt;&gt;"",Dashboard!$B$11&gt;0,$P284&gt;=Dashboard!$B$11),$P284,999))</f>
        <v>999</v>
      </c>
      <c r="S284" s="108" t="str">
        <f t="shared" si="4"/>
        <v/>
      </c>
    </row>
    <row r="285" spans="1:19" ht="27.4" customHeight="1">
      <c r="A285" s="1" t="s">
        <v>21</v>
      </c>
      <c r="B285" s="1" t="s">
        <v>2180</v>
      </c>
      <c r="C285" s="1">
        <v>700</v>
      </c>
      <c r="D285" s="1">
        <v>17.5</v>
      </c>
      <c r="E285" s="1">
        <v>1.044</v>
      </c>
      <c r="F285" s="1" t="s">
        <v>3010</v>
      </c>
      <c r="G285" s="1" t="s">
        <v>3303</v>
      </c>
      <c r="H285" s="1" t="s">
        <v>2195</v>
      </c>
      <c r="I285" s="1" t="s">
        <v>2195</v>
      </c>
      <c r="J285" s="1" t="s">
        <v>2208</v>
      </c>
      <c r="K285" s="108" t="str">
        <f>IF(AND($A285=Dashboard!$B$8,$C285='Calc Engine'!$B$5),$E285,"")</f>
        <v/>
      </c>
      <c r="L285" s="108">
        <f>IF(NOT(ISNUMBER(Dashboard!$B$11)),999,IF(OR(Dashboard!$B$11&lt;=0,$E285=""),999,ABS($E285-Dashboard!$B$11)))</f>
        <v>0.30600000000000005</v>
      </c>
      <c r="M285" s="108" t="str">
        <f>IF(NOT(ISNUMBER(Dashboard!$B$11)),"",IF(AND(Dashboard!$B$11&gt;0,$L285=MIN($L$2:$L$300)),"Closest overall reference",""))</f>
        <v/>
      </c>
      <c r="N285" s="108">
        <f>IF(NOT(ISNUMBER(Dashboard!$B$11)),999,IF(AND(Dashboard!$B$11&gt;0,$A285=Dashboard!$B$8,$E285&lt;&gt;""),ABS($E285-Dashboard!$B$11),999))</f>
        <v>0.30600000000000005</v>
      </c>
      <c r="O285" s="108" t="str">
        <f>IF(NOT(ISNUMBER(Dashboard!$B$11)),"",IF(AND(Dashboard!$B$11&gt;0,$N285=MIN($N$2:$N$300)),"Closest same-material reference",""))</f>
        <v/>
      </c>
      <c r="P285" s="108" t="str">
        <f>IF(AND($A285=Dashboard!$B$8,$C285='Calc Engine'!$B$5,$E285&lt;&gt;""),$E285,"")</f>
        <v/>
      </c>
      <c r="Q285" s="108">
        <f>IF(NOT(ISNUMBER(Dashboard!$B$11)),-999,IF(AND($P285&lt;&gt;"",Dashboard!$B$11&gt;0,$P285&lt;=Dashboard!$B$11),$P285,-999))</f>
        <v>-999</v>
      </c>
      <c r="R285" s="108">
        <f>IF(NOT(ISNUMBER(Dashboard!$B$11)),999,IF(AND($P285&lt;&gt;"",Dashboard!$B$11&gt;0,$P285&gt;=Dashboard!$B$11),$P285,999))</f>
        <v>999</v>
      </c>
      <c r="S285" s="108" t="str">
        <f t="shared" si="4"/>
        <v/>
      </c>
    </row>
    <row r="286" spans="1:19" ht="27.4" customHeight="1">
      <c r="A286" s="1" t="s">
        <v>21</v>
      </c>
      <c r="B286" s="1" t="s">
        <v>2187</v>
      </c>
      <c r="C286" s="1">
        <v>700</v>
      </c>
      <c r="D286" s="1">
        <v>19.3</v>
      </c>
      <c r="E286" s="1">
        <v>1.0669999999999999</v>
      </c>
      <c r="F286" s="1" t="s">
        <v>3010</v>
      </c>
      <c r="G286" s="1" t="s">
        <v>3304</v>
      </c>
      <c r="H286" s="1" t="s">
        <v>2195</v>
      </c>
      <c r="I286" s="1" t="s">
        <v>2195</v>
      </c>
      <c r="J286" s="1" t="s">
        <v>2208</v>
      </c>
      <c r="K286" s="108" t="str">
        <f>IF(AND($A286=Dashboard!$B$8,$C286='Calc Engine'!$B$5),$E286,"")</f>
        <v/>
      </c>
      <c r="L286" s="108">
        <f>IF(NOT(ISNUMBER(Dashboard!$B$11)),999,IF(OR(Dashboard!$B$11&lt;=0,$E286=""),999,ABS($E286-Dashboard!$B$11)))</f>
        <v>0.28300000000000014</v>
      </c>
      <c r="M286" s="108" t="str">
        <f>IF(NOT(ISNUMBER(Dashboard!$B$11)),"",IF(AND(Dashboard!$B$11&gt;0,$L286=MIN($L$2:$L$300)),"Closest overall reference",""))</f>
        <v/>
      </c>
      <c r="N286" s="108">
        <f>IF(NOT(ISNUMBER(Dashboard!$B$11)),999,IF(AND(Dashboard!$B$11&gt;0,$A286=Dashboard!$B$8,$E286&lt;&gt;""),ABS($E286-Dashboard!$B$11),999))</f>
        <v>0.28300000000000014</v>
      </c>
      <c r="O286" s="108" t="str">
        <f>IF(NOT(ISNUMBER(Dashboard!$B$11)),"",IF(AND(Dashboard!$B$11&gt;0,$N286=MIN($N$2:$N$300)),"Closest same-material reference",""))</f>
        <v/>
      </c>
      <c r="P286" s="108" t="str">
        <f>IF(AND($A286=Dashboard!$B$8,$C286='Calc Engine'!$B$5,$E286&lt;&gt;""),$E286,"")</f>
        <v/>
      </c>
      <c r="Q286" s="108">
        <f>IF(NOT(ISNUMBER(Dashboard!$B$11)),-999,IF(AND($P286&lt;&gt;"",Dashboard!$B$11&gt;0,$P286&lt;=Dashboard!$B$11),$P286,-999))</f>
        <v>-999</v>
      </c>
      <c r="R286" s="108">
        <f>IF(NOT(ISNUMBER(Dashboard!$B$11)),999,IF(AND($P286&lt;&gt;"",Dashboard!$B$11&gt;0,$P286&gt;=Dashboard!$B$11),$P286,999))</f>
        <v>999</v>
      </c>
      <c r="S286" s="108" t="str">
        <f t="shared" si="4"/>
        <v/>
      </c>
    </row>
    <row r="287" spans="1:19" ht="27.4" customHeight="1">
      <c r="A287" s="1" t="s">
        <v>21</v>
      </c>
      <c r="B287" s="1" t="s">
        <v>2193</v>
      </c>
      <c r="C287" s="1">
        <v>700</v>
      </c>
      <c r="D287" s="1">
        <v>21</v>
      </c>
      <c r="E287" s="1">
        <v>1.0860000000000001</v>
      </c>
      <c r="F287" s="1" t="s">
        <v>3010</v>
      </c>
      <c r="G287" s="1" t="s">
        <v>3305</v>
      </c>
      <c r="H287" s="1" t="s">
        <v>2195</v>
      </c>
      <c r="I287" s="1" t="s">
        <v>2195</v>
      </c>
      <c r="J287" s="1" t="s">
        <v>2208</v>
      </c>
      <c r="K287" s="108" t="str">
        <f>IF(AND($A287=Dashboard!$B$8,$C287='Calc Engine'!$B$5),$E287,"")</f>
        <v/>
      </c>
      <c r="L287" s="108">
        <f>IF(NOT(ISNUMBER(Dashboard!$B$11)),999,IF(OR(Dashboard!$B$11&lt;=0,$E287=""),999,ABS($E287-Dashboard!$B$11)))</f>
        <v>0.26400000000000001</v>
      </c>
      <c r="M287" s="108" t="str">
        <f>IF(NOT(ISNUMBER(Dashboard!$B$11)),"",IF(AND(Dashboard!$B$11&gt;0,$L287=MIN($L$2:$L$300)),"Closest overall reference",""))</f>
        <v/>
      </c>
      <c r="N287" s="108">
        <f>IF(NOT(ISNUMBER(Dashboard!$B$11)),999,IF(AND(Dashboard!$B$11&gt;0,$A287=Dashboard!$B$8,$E287&lt;&gt;""),ABS($E287-Dashboard!$B$11),999))</f>
        <v>0.26400000000000001</v>
      </c>
      <c r="O287" s="108" t="str">
        <f>IF(NOT(ISNUMBER(Dashboard!$B$11)),"",IF(AND(Dashboard!$B$11&gt;0,$N287=MIN($N$2:$N$300)),"Closest same-material reference",""))</f>
        <v/>
      </c>
      <c r="P287" s="108" t="str">
        <f>IF(AND($A287=Dashboard!$B$8,$C287='Calc Engine'!$B$5,$E287&lt;&gt;""),$E287,"")</f>
        <v/>
      </c>
      <c r="Q287" s="108">
        <f>IF(NOT(ISNUMBER(Dashboard!$B$11)),-999,IF(AND($P287&lt;&gt;"",Dashboard!$B$11&gt;0,$P287&lt;=Dashboard!$B$11),$P287,-999))</f>
        <v>-999</v>
      </c>
      <c r="R287" s="108">
        <f>IF(NOT(ISNUMBER(Dashboard!$B$11)),999,IF(AND($P287&lt;&gt;"",Dashboard!$B$11&gt;0,$P287&gt;=Dashboard!$B$11),$P287,999))</f>
        <v>999</v>
      </c>
      <c r="S287" s="108" t="str">
        <f t="shared" si="4"/>
        <v/>
      </c>
    </row>
    <row r="288" spans="1:19" ht="41.1" customHeight="1">
      <c r="A288" s="1" t="s">
        <v>21</v>
      </c>
      <c r="B288" s="1" t="s">
        <v>3012</v>
      </c>
      <c r="C288" s="1">
        <v>700</v>
      </c>
      <c r="D288" s="1">
        <v>19.266666666666669</v>
      </c>
      <c r="E288" s="1">
        <v>1.065666666666667</v>
      </c>
      <c r="F288" s="1" t="s">
        <v>3013</v>
      </c>
      <c r="G288" s="1" t="s">
        <v>3306</v>
      </c>
      <c r="H288" s="1" t="s">
        <v>2195</v>
      </c>
      <c r="I288" s="1" t="s">
        <v>2195</v>
      </c>
      <c r="J288" s="1" t="s">
        <v>2208</v>
      </c>
      <c r="K288" s="108" t="str">
        <f>IF(AND($A288=Dashboard!$B$8,$C288='Calc Engine'!$B$5),$E288,"")</f>
        <v/>
      </c>
      <c r="L288" s="108">
        <f>IF(NOT(ISNUMBER(Dashboard!$B$11)),999,IF(OR(Dashboard!$B$11&lt;=0,$E288=""),999,ABS($E288-Dashboard!$B$11)))</f>
        <v>0.2843333333333331</v>
      </c>
      <c r="M288" s="108" t="str">
        <f>IF(NOT(ISNUMBER(Dashboard!$B$11)),"",IF(AND(Dashboard!$B$11&gt;0,$L288=MIN($L$2:$L$300)),"Closest overall reference",""))</f>
        <v/>
      </c>
      <c r="N288" s="108">
        <f>IF(NOT(ISNUMBER(Dashboard!$B$11)),999,IF(AND(Dashboard!$B$11&gt;0,$A288=Dashboard!$B$8,$E288&lt;&gt;""),ABS($E288-Dashboard!$B$11),999))</f>
        <v>0.2843333333333331</v>
      </c>
      <c r="O288" s="108" t="str">
        <f>IF(NOT(ISNUMBER(Dashboard!$B$11)),"",IF(AND(Dashboard!$B$11&gt;0,$N288=MIN($N$2:$N$300)),"Closest same-material reference",""))</f>
        <v/>
      </c>
      <c r="P288" s="108" t="str">
        <f>IF(AND($A288=Dashboard!$B$8,$C288='Calc Engine'!$B$5,$E288&lt;&gt;""),$E288,"")</f>
        <v/>
      </c>
      <c r="Q288" s="108">
        <f>IF(NOT(ISNUMBER(Dashboard!$B$11)),-999,IF(AND($P288&lt;&gt;"",Dashboard!$B$11&gt;0,$P288&lt;=Dashboard!$B$11),$P288,-999))</f>
        <v>-999</v>
      </c>
      <c r="R288" s="108">
        <f>IF(NOT(ISNUMBER(Dashboard!$B$11)),999,IF(AND($P288&lt;&gt;"",Dashboard!$B$11&gt;0,$P288&gt;=Dashboard!$B$11),$P288,999))</f>
        <v>999</v>
      </c>
      <c r="S288" s="108" t="str">
        <f t="shared" si="4"/>
        <v/>
      </c>
    </row>
    <row r="289" spans="1:19" ht="54.75" customHeight="1">
      <c r="A289" s="1" t="s">
        <v>21</v>
      </c>
      <c r="B289" s="1" t="s">
        <v>3015</v>
      </c>
      <c r="C289" s="1">
        <v>700</v>
      </c>
      <c r="D289" s="1">
        <v>17.5</v>
      </c>
      <c r="E289" s="1">
        <v>1.044</v>
      </c>
      <c r="F289" s="1" t="s">
        <v>3016</v>
      </c>
      <c r="G289" s="1" t="s">
        <v>3307</v>
      </c>
      <c r="H289" s="1" t="s">
        <v>2195</v>
      </c>
      <c r="I289" s="1" t="s">
        <v>2195</v>
      </c>
      <c r="J289" s="1" t="s">
        <v>2208</v>
      </c>
      <c r="K289" s="108" t="str">
        <f>IF(AND($A289=Dashboard!$B$8,$C289='Calc Engine'!$B$5),$E289,"")</f>
        <v/>
      </c>
      <c r="L289" s="108">
        <f>IF(NOT(ISNUMBER(Dashboard!$B$11)),999,IF(OR(Dashboard!$B$11&lt;=0,$E289=""),999,ABS($E289-Dashboard!$B$11)))</f>
        <v>0.30600000000000005</v>
      </c>
      <c r="M289" s="108" t="str">
        <f>IF(NOT(ISNUMBER(Dashboard!$B$11)),"",IF(AND(Dashboard!$B$11&gt;0,$L289=MIN($L$2:$L$300)),"Closest overall reference",""))</f>
        <v/>
      </c>
      <c r="N289" s="108">
        <f>IF(NOT(ISNUMBER(Dashboard!$B$11)),999,IF(AND(Dashboard!$B$11&gt;0,$A289=Dashboard!$B$8,$E289&lt;&gt;""),ABS($E289-Dashboard!$B$11),999))</f>
        <v>0.30600000000000005</v>
      </c>
      <c r="O289" s="108" t="str">
        <f>IF(NOT(ISNUMBER(Dashboard!$B$11)),"",IF(AND(Dashboard!$B$11&gt;0,$N289=MIN($N$2:$N$300)),"Closest same-material reference",""))</f>
        <v/>
      </c>
      <c r="P289" s="108" t="str">
        <f>IF(AND($A289=Dashboard!$B$8,$C289='Calc Engine'!$B$5,$E289&lt;&gt;""),$E289,"")</f>
        <v/>
      </c>
      <c r="Q289" s="108">
        <f>IF(NOT(ISNUMBER(Dashboard!$B$11)),-999,IF(AND($P289&lt;&gt;"",Dashboard!$B$11&gt;0,$P289&lt;=Dashboard!$B$11),$P289,-999))</f>
        <v>-999</v>
      </c>
      <c r="R289" s="108">
        <f>IF(NOT(ISNUMBER(Dashboard!$B$11)),999,IF(AND($P289&lt;&gt;"",Dashboard!$B$11&gt;0,$P289&gt;=Dashboard!$B$11),$P289,999))</f>
        <v>999</v>
      </c>
      <c r="S289" s="108" t="str">
        <f t="shared" si="4"/>
        <v/>
      </c>
    </row>
    <row r="290" spans="1:19">
      <c r="A290" t="s">
        <v>21</v>
      </c>
      <c r="B290" t="s">
        <v>3012</v>
      </c>
      <c r="C290">
        <v>350</v>
      </c>
      <c r="D290">
        <v>12.83333333333333</v>
      </c>
      <c r="E290">
        <v>1.127666666666667</v>
      </c>
      <c r="F290" t="s">
        <v>3308</v>
      </c>
      <c r="G290" t="s">
        <v>3309</v>
      </c>
      <c r="H290" t="s">
        <v>2195</v>
      </c>
      <c r="I290" t="s">
        <v>2195</v>
      </c>
      <c r="J290" t="s">
        <v>2208</v>
      </c>
      <c r="K290" s="109" t="str">
        <f>IF(AND($A290=Dashboard!$B$8,$C290='Calc Engine'!$B$5),$E290,"")</f>
        <v/>
      </c>
      <c r="L290" s="109">
        <f>IF(NOT(ISNUMBER(Dashboard!$B$11)),999,IF(OR(Dashboard!$B$11&lt;=0,$E290=""),999,ABS($E290-Dashboard!$B$11)))</f>
        <v>0.22233333333333305</v>
      </c>
      <c r="M290" s="109" t="str">
        <f>IF(NOT(ISNUMBER(Dashboard!$B$11)),"",IF(AND(Dashboard!$B$11&gt;0,$L290=MIN($L$2:$L$300)),"Closest overall reference",""))</f>
        <v/>
      </c>
      <c r="N290" s="109">
        <f>IF(NOT(ISNUMBER(Dashboard!$B$11)),999,IF(AND(Dashboard!$B$11&gt;0,$A290=Dashboard!$B$8,$E290&lt;&gt;""),ABS($E290-Dashboard!$B$11),999))</f>
        <v>0.22233333333333305</v>
      </c>
      <c r="O290" s="109" t="str">
        <f>IF(NOT(ISNUMBER(Dashboard!$B$11)),"",IF(AND(Dashboard!$B$11&gt;0,$N290=MIN($N$2:$N$300)),"Closest same-material reference",""))</f>
        <v/>
      </c>
      <c r="P290" s="109" t="str">
        <f>IF(AND($A290=Dashboard!$B$8,$C290='Calc Engine'!$B$5,$E290&lt;&gt;""),$E290,"")</f>
        <v/>
      </c>
      <c r="Q290" s="109">
        <f>IF(NOT(ISNUMBER(Dashboard!$B$11)),-999,IF(AND($P290&lt;&gt;"",Dashboard!$B$11&gt;0,$P290&lt;=Dashboard!$B$11),$P290,-999))</f>
        <v>-999</v>
      </c>
      <c r="R290" s="109">
        <f>IF(NOT(ISNUMBER(Dashboard!$B$11)),999,IF(AND($P290&lt;&gt;"",Dashboard!$B$11&gt;0,$P290&gt;=Dashboard!$B$11),$P290,999))</f>
        <v>999</v>
      </c>
    </row>
    <row r="291" spans="1:19">
      <c r="A291" t="s">
        <v>2147</v>
      </c>
      <c r="B291" t="s">
        <v>2181</v>
      </c>
      <c r="C291">
        <v>25</v>
      </c>
      <c r="D291">
        <v>3.2</v>
      </c>
      <c r="F291" t="s">
        <v>3310</v>
      </c>
      <c r="L291" s="109">
        <f>IF(NOT(ISNUMBER(Dashboard!$B$11)),999,IF(OR(Dashboard!$B$11&lt;=0,$E291=""),999,ABS($E291-Dashboard!$B$11)))</f>
        <v>999</v>
      </c>
      <c r="M291" s="109" t="str">
        <f>IF(NOT(ISNUMBER(Dashboard!$B$11)),"",IF(AND(Dashboard!$B$11&gt;0,$L291=MIN($L$2:$L$300)),"Closest overall reference",""))</f>
        <v/>
      </c>
      <c r="N291" s="109">
        <f>IF(NOT(ISNUMBER(Dashboard!$B$11)),999,IF(AND(Dashboard!$B$11&gt;0,$A291=Dashboard!$B$8,$E291&lt;&gt;""),ABS($E291-Dashboard!$B$11),999))</f>
        <v>999</v>
      </c>
      <c r="O291" s="109" t="str">
        <f>IF(NOT(ISNUMBER(Dashboard!$B$11)),"",IF(AND(Dashboard!$B$11&gt;0,$N291=MIN($N$2:$N$300)),"Closest same-material reference",""))</f>
        <v/>
      </c>
      <c r="Q291" s="109">
        <f>IF(NOT(ISNUMBER(Dashboard!$B$11)),-999,IF(AND($P291&lt;&gt;"",Dashboard!$B$11&gt;0,$P291&lt;=Dashboard!$B$11),$P291,-999))</f>
        <v>-999</v>
      </c>
      <c r="R291" s="109">
        <f>IF(NOT(ISNUMBER(Dashboard!$B$11)),999,IF(AND($P291&lt;&gt;"",Dashboard!$B$11&gt;0,$P291&gt;=Dashboard!$B$11),$P291,999))</f>
        <v>999</v>
      </c>
    </row>
    <row r="292" spans="1:19">
      <c r="A292" t="s">
        <v>2147</v>
      </c>
      <c r="B292" t="s">
        <v>2181</v>
      </c>
      <c r="C292">
        <v>32</v>
      </c>
      <c r="D292">
        <v>3.2</v>
      </c>
      <c r="F292" t="s">
        <v>3310</v>
      </c>
      <c r="L292" s="109">
        <f>IF(NOT(ISNUMBER(Dashboard!$B$11)),999,IF(OR(Dashboard!$B$11&lt;=0,$E292=""),999,ABS($E292-Dashboard!$B$11)))</f>
        <v>999</v>
      </c>
      <c r="M292" s="109" t="str">
        <f>IF(NOT(ISNUMBER(Dashboard!$B$11)),"",IF(AND(Dashboard!$B$11&gt;0,$L292=MIN($L$2:$L$300)),"Closest overall reference",""))</f>
        <v/>
      </c>
      <c r="N292" s="109">
        <f>IF(NOT(ISNUMBER(Dashboard!$B$11)),999,IF(AND(Dashboard!$B$11&gt;0,$A292=Dashboard!$B$8,$E292&lt;&gt;""),ABS($E292-Dashboard!$B$11),999))</f>
        <v>999</v>
      </c>
      <c r="O292" s="109" t="str">
        <f>IF(NOT(ISNUMBER(Dashboard!$B$11)),"",IF(AND(Dashboard!$B$11&gt;0,$N292=MIN($N$2:$N$300)),"Closest same-material reference",""))</f>
        <v/>
      </c>
      <c r="Q292" s="109">
        <f>IF(NOT(ISNUMBER(Dashboard!$B$11)),-999,IF(AND($P292&lt;&gt;"",Dashboard!$B$11&gt;0,$P292&lt;=Dashboard!$B$11),$P292,-999))</f>
        <v>-999</v>
      </c>
      <c r="R292" s="109">
        <f>IF(NOT(ISNUMBER(Dashboard!$B$11)),999,IF(AND($P292&lt;&gt;"",Dashboard!$B$11&gt;0,$P292&gt;=Dashboard!$B$11),$P292,999))</f>
        <v>999</v>
      </c>
    </row>
    <row r="293" spans="1:19">
      <c r="A293" t="s">
        <v>2147</v>
      </c>
      <c r="B293" t="s">
        <v>2181</v>
      </c>
      <c r="C293">
        <v>40</v>
      </c>
      <c r="D293">
        <v>3.2</v>
      </c>
      <c r="F293" t="s">
        <v>3310</v>
      </c>
      <c r="L293" s="109">
        <f>IF(NOT(ISNUMBER(Dashboard!$B$11)),999,IF(OR(Dashboard!$B$11&lt;=0,$E293=""),999,ABS($E293-Dashboard!$B$11)))</f>
        <v>999</v>
      </c>
      <c r="M293" s="109" t="str">
        <f>IF(NOT(ISNUMBER(Dashboard!$B$11)),"",IF(AND(Dashboard!$B$11&gt;0,$L293=MIN($L$2:$L$300)),"Closest overall reference",""))</f>
        <v/>
      </c>
      <c r="N293" s="109">
        <f>IF(NOT(ISNUMBER(Dashboard!$B$11)),999,IF(AND(Dashboard!$B$11&gt;0,$A293=Dashboard!$B$8,$E293&lt;&gt;""),ABS($E293-Dashboard!$B$11),999))</f>
        <v>999</v>
      </c>
      <c r="O293" s="109" t="str">
        <f>IF(NOT(ISNUMBER(Dashboard!$B$11)),"",IF(AND(Dashboard!$B$11&gt;0,$N293=MIN($N$2:$N$300)),"Closest same-material reference",""))</f>
        <v/>
      </c>
      <c r="Q293" s="109">
        <f>IF(NOT(ISNUMBER(Dashboard!$B$11)),-999,IF(AND($P293&lt;&gt;"",Dashboard!$B$11&gt;0,$P293&lt;=Dashboard!$B$11),$P293,-999))</f>
        <v>-999</v>
      </c>
      <c r="R293" s="109">
        <f>IF(NOT(ISNUMBER(Dashboard!$B$11)),999,IF(AND($P293&lt;&gt;"",Dashboard!$B$11&gt;0,$P293&gt;=Dashboard!$B$11),$P293,999))</f>
        <v>999</v>
      </c>
    </row>
    <row r="294" spans="1:19">
      <c r="A294" t="s">
        <v>2147</v>
      </c>
      <c r="B294" t="s">
        <v>2181</v>
      </c>
      <c r="C294">
        <v>50</v>
      </c>
      <c r="D294">
        <v>3.6</v>
      </c>
      <c r="F294" t="s">
        <v>3310</v>
      </c>
      <c r="L294" s="109">
        <f>IF(NOT(ISNUMBER(Dashboard!$B$11)),999,IF(OR(Dashboard!$B$11&lt;=0,$E294=""),999,ABS($E294-Dashboard!$B$11)))</f>
        <v>999</v>
      </c>
      <c r="M294" s="109" t="str">
        <f>IF(NOT(ISNUMBER(Dashboard!$B$11)),"",IF(AND(Dashboard!$B$11&gt;0,$L294=MIN($L$2:$L$300)),"Closest overall reference",""))</f>
        <v/>
      </c>
      <c r="N294" s="109">
        <f>IF(NOT(ISNUMBER(Dashboard!$B$11)),999,IF(AND(Dashboard!$B$11&gt;0,$A294=Dashboard!$B$8,$E294&lt;&gt;""),ABS($E294-Dashboard!$B$11),999))</f>
        <v>999</v>
      </c>
      <c r="O294" s="109" t="str">
        <f>IF(NOT(ISNUMBER(Dashboard!$B$11)),"",IF(AND(Dashboard!$B$11&gt;0,$N294=MIN($N$2:$N$300)),"Closest same-material reference",""))</f>
        <v/>
      </c>
      <c r="Q294" s="109">
        <f>IF(NOT(ISNUMBER(Dashboard!$B$11)),-999,IF(AND($P294&lt;&gt;"",Dashboard!$B$11&gt;0,$P294&lt;=Dashboard!$B$11),$P294,-999))</f>
        <v>-999</v>
      </c>
      <c r="R294" s="109">
        <f>IF(NOT(ISNUMBER(Dashboard!$B$11)),999,IF(AND($P294&lt;&gt;"",Dashboard!$B$11&gt;0,$P294&gt;=Dashboard!$B$11),$P294,999))</f>
        <v>999</v>
      </c>
    </row>
    <row r="295" spans="1:19">
      <c r="A295" t="s">
        <v>2147</v>
      </c>
      <c r="B295" t="s">
        <v>2181</v>
      </c>
      <c r="C295">
        <v>65</v>
      </c>
      <c r="D295">
        <v>3.6</v>
      </c>
      <c r="F295" t="s">
        <v>3310</v>
      </c>
      <c r="L295" s="109">
        <f>IF(NOT(ISNUMBER(Dashboard!$B$11)),999,IF(OR(Dashboard!$B$11&lt;=0,$E295=""),999,ABS($E295-Dashboard!$B$11)))</f>
        <v>999</v>
      </c>
      <c r="M295" s="109" t="str">
        <f>IF(NOT(ISNUMBER(Dashboard!$B$11)),"",IF(AND(Dashboard!$B$11&gt;0,$L295=MIN($L$2:$L$300)),"Closest overall reference",""))</f>
        <v/>
      </c>
      <c r="N295" s="109">
        <f>IF(NOT(ISNUMBER(Dashboard!$B$11)),999,IF(AND(Dashboard!$B$11&gt;0,$A295=Dashboard!$B$8,$E295&lt;&gt;""),ABS($E295-Dashboard!$B$11),999))</f>
        <v>999</v>
      </c>
      <c r="O295" s="109" t="str">
        <f>IF(NOT(ISNUMBER(Dashboard!$B$11)),"",IF(AND(Dashboard!$B$11&gt;0,$N295=MIN($N$2:$N$300)),"Closest same-material reference",""))</f>
        <v/>
      </c>
      <c r="Q295" s="109">
        <f>IF(NOT(ISNUMBER(Dashboard!$B$11)),-999,IF(AND($P295&lt;&gt;"",Dashboard!$B$11&gt;0,$P295&lt;=Dashboard!$B$11),$P295,-999))</f>
        <v>-999</v>
      </c>
      <c r="R295" s="109">
        <f>IF(NOT(ISNUMBER(Dashboard!$B$11)),999,IF(AND($P295&lt;&gt;"",Dashboard!$B$11&gt;0,$P295&gt;=Dashboard!$B$11),$P295,999))</f>
        <v>999</v>
      </c>
    </row>
    <row r="296" spans="1:19">
      <c r="A296" t="s">
        <v>2147</v>
      </c>
      <c r="B296" t="s">
        <v>2181</v>
      </c>
      <c r="C296">
        <v>80</v>
      </c>
      <c r="D296">
        <v>4</v>
      </c>
      <c r="F296" t="s">
        <v>3310</v>
      </c>
      <c r="L296" s="109">
        <f>IF(NOT(ISNUMBER(Dashboard!$B$11)),999,IF(OR(Dashboard!$B$11&lt;=0,$E296=""),999,ABS($E296-Dashboard!$B$11)))</f>
        <v>999</v>
      </c>
      <c r="M296" s="109" t="str">
        <f>IF(NOT(ISNUMBER(Dashboard!$B$11)),"",IF(AND(Dashboard!$B$11&gt;0,$L296=MIN($L$2:$L$300)),"Closest overall reference",""))</f>
        <v/>
      </c>
      <c r="N296" s="109">
        <f>IF(NOT(ISNUMBER(Dashboard!$B$11)),999,IF(AND(Dashboard!$B$11&gt;0,$A296=Dashboard!$B$8,$E296&lt;&gt;""),ABS($E296-Dashboard!$B$11),999))</f>
        <v>999</v>
      </c>
      <c r="O296" s="109" t="str">
        <f>IF(NOT(ISNUMBER(Dashboard!$B$11)),"",IF(AND(Dashboard!$B$11&gt;0,$N296=MIN($N$2:$N$300)),"Closest same-material reference",""))</f>
        <v/>
      </c>
      <c r="Q296" s="109">
        <f>IF(NOT(ISNUMBER(Dashboard!$B$11)),-999,IF(AND($P296&lt;&gt;"",Dashboard!$B$11&gt;0,$P296&lt;=Dashboard!$B$11),$P296,-999))</f>
        <v>-999</v>
      </c>
      <c r="R296" s="109">
        <f>IF(NOT(ISNUMBER(Dashboard!$B$11)),999,IF(AND($P296&lt;&gt;"",Dashboard!$B$11&gt;0,$P296&gt;=Dashboard!$B$11),$P296,999))</f>
        <v>999</v>
      </c>
    </row>
    <row r="297" spans="1:19">
      <c r="A297" t="s">
        <v>2147</v>
      </c>
      <c r="B297" t="s">
        <v>2181</v>
      </c>
      <c r="C297">
        <v>100</v>
      </c>
      <c r="D297">
        <v>4.5</v>
      </c>
      <c r="F297" t="s">
        <v>3310</v>
      </c>
      <c r="L297" s="109">
        <f>IF(NOT(ISNUMBER(Dashboard!$B$11)),999,IF(OR(Dashboard!$B$11&lt;=0,$E297=""),999,ABS($E297-Dashboard!$B$11)))</f>
        <v>999</v>
      </c>
      <c r="M297" s="109" t="str">
        <f>IF(NOT(ISNUMBER(Dashboard!$B$11)),"",IF(AND(Dashboard!$B$11&gt;0,$L297=MIN($L$2:$L$300)),"Closest overall reference",""))</f>
        <v/>
      </c>
      <c r="N297" s="109">
        <f>IF(NOT(ISNUMBER(Dashboard!$B$11)),999,IF(AND(Dashboard!$B$11&gt;0,$A297=Dashboard!$B$8,$E297&lt;&gt;""),ABS($E297-Dashboard!$B$11),999))</f>
        <v>999</v>
      </c>
      <c r="O297" s="109" t="str">
        <f>IF(NOT(ISNUMBER(Dashboard!$B$11)),"",IF(AND(Dashboard!$B$11&gt;0,$N297=MIN($N$2:$N$300)),"Closest same-material reference",""))</f>
        <v/>
      </c>
      <c r="Q297" s="109">
        <f>IF(NOT(ISNUMBER(Dashboard!$B$11)),-999,IF(AND($P297&lt;&gt;"",Dashboard!$B$11&gt;0,$P297&lt;=Dashboard!$B$11),$P297,-999))</f>
        <v>-999</v>
      </c>
      <c r="R297" s="109">
        <f>IF(NOT(ISNUMBER(Dashboard!$B$11)),999,IF(AND($P297&lt;&gt;"",Dashboard!$B$11&gt;0,$P297&gt;=Dashboard!$B$11),$P297,999))</f>
        <v>999</v>
      </c>
    </row>
    <row r="298" spans="1:19">
      <c r="A298" t="s">
        <v>2147</v>
      </c>
      <c r="B298" t="s">
        <v>2181</v>
      </c>
      <c r="C298">
        <v>125</v>
      </c>
      <c r="D298">
        <v>5</v>
      </c>
      <c r="F298" t="s">
        <v>3310</v>
      </c>
      <c r="L298" s="109">
        <f>IF(NOT(ISNUMBER(Dashboard!$B$11)),999,IF(OR(Dashboard!$B$11&lt;=0,$E298=""),999,ABS($E298-Dashboard!$B$11)))</f>
        <v>999</v>
      </c>
      <c r="M298" s="109" t="str">
        <f>IF(NOT(ISNUMBER(Dashboard!$B$11)),"",IF(AND(Dashboard!$B$11&gt;0,$L298=MIN($L$2:$L$300)),"Closest overall reference",""))</f>
        <v/>
      </c>
      <c r="N298" s="109">
        <f>IF(NOT(ISNUMBER(Dashboard!$B$11)),999,IF(AND(Dashboard!$B$11&gt;0,$A298=Dashboard!$B$8,$E298&lt;&gt;""),ABS($E298-Dashboard!$B$11),999))</f>
        <v>999</v>
      </c>
      <c r="O298" s="109" t="str">
        <f>IF(NOT(ISNUMBER(Dashboard!$B$11)),"",IF(AND(Dashboard!$B$11&gt;0,$N298=MIN($N$2:$N$300)),"Closest same-material reference",""))</f>
        <v/>
      </c>
      <c r="Q298" s="109">
        <f>IF(NOT(ISNUMBER(Dashboard!$B$11)),-999,IF(AND($P298&lt;&gt;"",Dashboard!$B$11&gt;0,$P298&lt;=Dashboard!$B$11),$P298,-999))</f>
        <v>-999</v>
      </c>
      <c r="R298" s="109">
        <f>IF(NOT(ISNUMBER(Dashboard!$B$11)),999,IF(AND($P298&lt;&gt;"",Dashboard!$B$11&gt;0,$P298&gt;=Dashboard!$B$11),$P298,999))</f>
        <v>999</v>
      </c>
    </row>
    <row r="299" spans="1:19">
      <c r="A299" t="s">
        <v>2147</v>
      </c>
      <c r="B299" t="s">
        <v>2181</v>
      </c>
      <c r="C299">
        <v>150</v>
      </c>
      <c r="D299">
        <v>5</v>
      </c>
      <c r="F299" t="s">
        <v>3310</v>
      </c>
      <c r="L299" s="109">
        <f>IF(NOT(ISNUMBER(Dashboard!$B$11)),999,IF(OR(Dashboard!$B$11&lt;=0,$E299=""),999,ABS($E299-Dashboard!$B$11)))</f>
        <v>999</v>
      </c>
      <c r="M299" s="109" t="str">
        <f>IF(NOT(ISNUMBER(Dashboard!$B$11)),"",IF(AND(Dashboard!$B$11&gt;0,$L299=MIN($L$2:$L$300)),"Closest overall reference",""))</f>
        <v/>
      </c>
      <c r="N299" s="109">
        <f>IF(NOT(ISNUMBER(Dashboard!$B$11)),999,IF(AND(Dashboard!$B$11&gt;0,$A299=Dashboard!$B$8,$E299&lt;&gt;""),ABS($E299-Dashboard!$B$11),999))</f>
        <v>999</v>
      </c>
      <c r="O299" s="109" t="str">
        <f>IF(NOT(ISNUMBER(Dashboard!$B$11)),"",IF(AND(Dashboard!$B$11&gt;0,$N299=MIN($N$2:$N$300)),"Closest same-material reference",""))</f>
        <v/>
      </c>
      <c r="Q299" s="109">
        <f>IF(NOT(ISNUMBER(Dashboard!$B$11)),-999,IF(AND($P299&lt;&gt;"",Dashboard!$B$11&gt;0,$P299&lt;=Dashboard!$B$11),$P299,-999))</f>
        <v>-999</v>
      </c>
      <c r="R299" s="109">
        <f>IF(NOT(ISNUMBER(Dashboard!$B$11)),999,IF(AND($P299&lt;&gt;"",Dashboard!$B$11&gt;0,$P299&gt;=Dashboard!$B$11),$P299,999))</f>
        <v>999</v>
      </c>
    </row>
    <row r="300" spans="1:19">
      <c r="A300" t="s">
        <v>21</v>
      </c>
      <c r="B300" t="s">
        <v>3015</v>
      </c>
      <c r="C300">
        <v>350</v>
      </c>
      <c r="D300">
        <v>11.7</v>
      </c>
      <c r="E300">
        <v>1.109</v>
      </c>
      <c r="F300" t="s">
        <v>3311</v>
      </c>
      <c r="G300" t="s">
        <v>3312</v>
      </c>
      <c r="H300" t="s">
        <v>2195</v>
      </c>
      <c r="I300" t="s">
        <v>2195</v>
      </c>
      <c r="J300" t="s">
        <v>2208</v>
      </c>
      <c r="K300" s="109" t="str">
        <f>IF(AND($A300=Dashboard!$B$8,$C300='Calc Engine'!$B$5),$E300,"")</f>
        <v/>
      </c>
      <c r="L300" s="109">
        <f>IF(NOT(ISNUMBER(Dashboard!$B$11)),999,IF(OR(Dashboard!$B$11&lt;=0,$E300=""),999,ABS($E300-Dashboard!$B$11)))</f>
        <v>0.2410000000000001</v>
      </c>
      <c r="M300" s="109" t="str">
        <f>IF(NOT(ISNUMBER(Dashboard!$B$11)),"",IF(AND(Dashboard!$B$11&gt;0,$L300=MIN($L$2:$L$300)),"Closest overall reference",""))</f>
        <v/>
      </c>
      <c r="N300" s="109">
        <f>IF(NOT(ISNUMBER(Dashboard!$B$11)),999,IF(AND(Dashboard!$B$11&gt;0,$A300=Dashboard!$B$8,$E300&lt;&gt;""),ABS($E300-Dashboard!$B$11),999))</f>
        <v>0.2410000000000001</v>
      </c>
      <c r="O300" s="109" t="str">
        <f>IF(NOT(ISNUMBER(Dashboard!$B$11)),"",IF(AND(Dashboard!$B$11&gt;0,$N300=MIN($N$2:$N$300)),"Closest same-material reference",""))</f>
        <v/>
      </c>
      <c r="P300" s="109" t="str">
        <f>IF(AND($A300=Dashboard!$B$8,$C300='Calc Engine'!$B$5,$E300&lt;&gt;""),$E300,"")</f>
        <v/>
      </c>
      <c r="Q300" s="109">
        <f>IF(NOT(ISNUMBER(Dashboard!$B$11)),-999,IF(AND($P300&lt;&gt;"",Dashboard!$B$11&gt;0,$P300&lt;=Dashboard!$B$11),$P300,-999))</f>
        <v>-999</v>
      </c>
      <c r="R300" s="109">
        <f>IF(NOT(ISNUMBER(Dashboard!$B$11)),999,IF(AND($P300&lt;&gt;"",Dashboard!$B$11&gt;0,$P300&gt;=Dashboard!$B$11),$P300,999))</f>
        <v>999</v>
      </c>
    </row>
  </sheetData>
  <sheetProtection password="FE3F" sheet="1" objects="1" scenarios="1" formatRows="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42"/>
  <sheetViews>
    <sheetView workbookViewId="0"/>
  </sheetViews>
  <sheetFormatPr defaultRowHeight="14.25"/>
  <sheetData>
    <row r="1" spans="1:12" ht="15">
      <c r="A1" s="6"/>
      <c r="B1" s="6"/>
      <c r="C1" s="6"/>
      <c r="D1" s="6"/>
      <c r="E1" s="6"/>
      <c r="F1" s="6"/>
      <c r="G1" s="6"/>
      <c r="H1" s="6"/>
      <c r="I1" s="6"/>
      <c r="J1" s="6"/>
      <c r="K1" s="6"/>
      <c r="L1" s="6"/>
    </row>
    <row r="3" spans="1:12">
      <c r="B3" t="s">
        <v>3313</v>
      </c>
    </row>
    <row r="4" spans="1:12">
      <c r="C4" t="s">
        <v>2179</v>
      </c>
      <c r="E4" t="s">
        <v>2186</v>
      </c>
      <c r="G4" t="s">
        <v>2192</v>
      </c>
    </row>
    <row r="5" spans="1:12">
      <c r="B5" t="s">
        <v>3314</v>
      </c>
      <c r="C5" t="s">
        <v>3315</v>
      </c>
      <c r="E5" t="s">
        <v>3315</v>
      </c>
      <c r="G5" t="s">
        <v>3315</v>
      </c>
    </row>
    <row r="6" spans="1:12">
      <c r="B6" t="s">
        <v>2670</v>
      </c>
      <c r="C6" t="s">
        <v>3316</v>
      </c>
      <c r="D6" t="s">
        <v>1322</v>
      </c>
      <c r="E6" t="s">
        <v>3316</v>
      </c>
      <c r="F6" t="s">
        <v>1322</v>
      </c>
      <c r="G6" t="s">
        <v>3316</v>
      </c>
      <c r="H6" t="s">
        <v>1322</v>
      </c>
    </row>
    <row r="7" spans="1:12">
      <c r="B7">
        <v>80</v>
      </c>
      <c r="C7">
        <v>6</v>
      </c>
      <c r="D7">
        <v>1313</v>
      </c>
      <c r="E7">
        <v>7</v>
      </c>
      <c r="F7">
        <v>1326</v>
      </c>
      <c r="G7">
        <v>8.1</v>
      </c>
      <c r="H7">
        <v>1338</v>
      </c>
    </row>
    <row r="8" spans="1:12">
      <c r="B8">
        <v>100</v>
      </c>
      <c r="C8">
        <v>6.1</v>
      </c>
      <c r="D8">
        <v>1291</v>
      </c>
      <c r="E8">
        <v>7.2</v>
      </c>
      <c r="F8">
        <v>1308</v>
      </c>
      <c r="G8">
        <v>8.4</v>
      </c>
      <c r="H8">
        <v>1323</v>
      </c>
    </row>
    <row r="9" spans="1:12">
      <c r="B9">
        <v>150</v>
      </c>
      <c r="C9">
        <v>6.3</v>
      </c>
      <c r="D9">
        <v>1243</v>
      </c>
      <c r="E9">
        <v>7.8</v>
      </c>
      <c r="F9">
        <v>1272</v>
      </c>
      <c r="G9">
        <v>9.1</v>
      </c>
      <c r="H9">
        <v>1291</v>
      </c>
    </row>
    <row r="10" spans="1:12">
      <c r="B10">
        <v>200</v>
      </c>
      <c r="C10">
        <v>6.4</v>
      </c>
      <c r="D10">
        <v>1201</v>
      </c>
      <c r="E10">
        <v>8.4</v>
      </c>
      <c r="F10">
        <v>1244</v>
      </c>
      <c r="G10">
        <v>9.8000000000000007</v>
      </c>
      <c r="H10">
        <v>1265</v>
      </c>
    </row>
    <row r="11" spans="1:12">
      <c r="B11">
        <v>250</v>
      </c>
      <c r="C11">
        <v>6.8</v>
      </c>
      <c r="D11">
        <v>1171</v>
      </c>
      <c r="E11">
        <v>9</v>
      </c>
      <c r="F11">
        <v>1220</v>
      </c>
      <c r="G11">
        <v>10.5</v>
      </c>
      <c r="H11">
        <v>1244</v>
      </c>
    </row>
    <row r="12" spans="1:12">
      <c r="B12">
        <v>300</v>
      </c>
      <c r="C12">
        <v>7.2</v>
      </c>
      <c r="D12">
        <v>1148</v>
      </c>
      <c r="E12">
        <v>9.6</v>
      </c>
      <c r="F12">
        <v>1201</v>
      </c>
      <c r="G12">
        <v>11.2</v>
      </c>
      <c r="H12">
        <v>1226</v>
      </c>
    </row>
    <row r="13" spans="1:12">
      <c r="B13">
        <v>350</v>
      </c>
      <c r="C13">
        <v>7.7</v>
      </c>
      <c r="D13">
        <v>1129</v>
      </c>
      <c r="E13">
        <v>10.199999999999999</v>
      </c>
      <c r="F13">
        <v>1185</v>
      </c>
      <c r="G13">
        <v>11.9</v>
      </c>
      <c r="H13">
        <v>1211</v>
      </c>
    </row>
    <row r="14" spans="1:12">
      <c r="B14">
        <v>400</v>
      </c>
      <c r="C14">
        <v>8.1</v>
      </c>
      <c r="D14">
        <v>1113</v>
      </c>
      <c r="E14">
        <v>10.8</v>
      </c>
      <c r="F14">
        <v>1171</v>
      </c>
      <c r="G14">
        <v>12.6</v>
      </c>
      <c r="H14">
        <v>1198</v>
      </c>
    </row>
    <row r="15" spans="1:12">
      <c r="B15">
        <v>450</v>
      </c>
      <c r="C15">
        <v>8.6</v>
      </c>
      <c r="D15">
        <v>1099</v>
      </c>
      <c r="E15">
        <v>11.4</v>
      </c>
      <c r="F15">
        <v>1159</v>
      </c>
      <c r="G15">
        <v>13.3</v>
      </c>
      <c r="H15">
        <v>1187</v>
      </c>
    </row>
    <row r="16" spans="1:12">
      <c r="B16">
        <v>500</v>
      </c>
      <c r="C16">
        <v>9</v>
      </c>
      <c r="D16">
        <v>1087</v>
      </c>
      <c r="E16">
        <v>12</v>
      </c>
      <c r="F16">
        <v>1148</v>
      </c>
      <c r="G16">
        <v>14</v>
      </c>
      <c r="H16">
        <v>1177</v>
      </c>
    </row>
    <row r="17" spans="2:10">
      <c r="B17">
        <v>600</v>
      </c>
      <c r="C17">
        <v>9.9</v>
      </c>
      <c r="D17">
        <v>1067</v>
      </c>
      <c r="E17">
        <v>13.2</v>
      </c>
      <c r="F17">
        <v>1130</v>
      </c>
      <c r="G17">
        <v>15.4</v>
      </c>
      <c r="H17">
        <v>1161</v>
      </c>
    </row>
    <row r="18" spans="2:10">
      <c r="B18">
        <v>700</v>
      </c>
      <c r="C18">
        <v>10.8</v>
      </c>
      <c r="D18">
        <v>1051</v>
      </c>
      <c r="E18">
        <v>14.4</v>
      </c>
      <c r="F18">
        <v>1116</v>
      </c>
      <c r="G18">
        <v>16.8</v>
      </c>
      <c r="H18">
        <v>1148</v>
      </c>
    </row>
    <row r="19" spans="2:10">
      <c r="B19">
        <v>800</v>
      </c>
      <c r="C19">
        <v>11.7</v>
      </c>
      <c r="D19">
        <v>1039</v>
      </c>
      <c r="E19">
        <v>15.6</v>
      </c>
      <c r="F19">
        <v>1105</v>
      </c>
      <c r="G19">
        <v>18.2</v>
      </c>
      <c r="H19">
        <v>1137</v>
      </c>
    </row>
    <row r="20" spans="2:10">
      <c r="B20">
        <v>900</v>
      </c>
      <c r="C20">
        <v>12.6</v>
      </c>
      <c r="D20">
        <v>1028</v>
      </c>
      <c r="E20">
        <v>16.8</v>
      </c>
      <c r="F20">
        <v>1095</v>
      </c>
      <c r="G20">
        <v>19.600000000000001</v>
      </c>
      <c r="H20">
        <v>1128</v>
      </c>
    </row>
    <row r="21" spans="2:10">
      <c r="B21">
        <v>1000</v>
      </c>
      <c r="C21">
        <v>13.5</v>
      </c>
      <c r="D21">
        <v>1019</v>
      </c>
      <c r="E21">
        <v>18</v>
      </c>
      <c r="F21">
        <v>1087</v>
      </c>
      <c r="G21">
        <v>21</v>
      </c>
      <c r="H21">
        <v>1121</v>
      </c>
    </row>
    <row r="22" spans="2:10">
      <c r="B22">
        <v>1100</v>
      </c>
      <c r="C22">
        <v>14.4</v>
      </c>
      <c r="D22">
        <v>1012</v>
      </c>
      <c r="E22">
        <v>19.2</v>
      </c>
      <c r="F22">
        <v>1080</v>
      </c>
      <c r="G22">
        <v>22.4</v>
      </c>
      <c r="H22">
        <v>1114</v>
      </c>
    </row>
    <row r="23" spans="2:10">
      <c r="B23">
        <v>1200</v>
      </c>
      <c r="C23">
        <v>15.3</v>
      </c>
      <c r="D23">
        <v>1005</v>
      </c>
      <c r="E23">
        <v>20.399999999999999</v>
      </c>
      <c r="F23">
        <v>1074</v>
      </c>
      <c r="G23">
        <v>23.8</v>
      </c>
      <c r="H23">
        <v>1108</v>
      </c>
    </row>
    <row r="24" spans="2:10">
      <c r="B24">
        <v>1400</v>
      </c>
      <c r="C24">
        <v>17.100000000000001</v>
      </c>
      <c r="D24">
        <v>994</v>
      </c>
      <c r="E24">
        <v>22.8</v>
      </c>
      <c r="F24">
        <v>1064</v>
      </c>
      <c r="G24">
        <v>26.6</v>
      </c>
      <c r="H24">
        <v>1099</v>
      </c>
    </row>
    <row r="25" spans="2:10">
      <c r="B25">
        <v>1600</v>
      </c>
      <c r="C25">
        <v>18.899999999999999</v>
      </c>
      <c r="D25">
        <v>986</v>
      </c>
      <c r="E25">
        <v>25.2</v>
      </c>
      <c r="F25">
        <v>1056</v>
      </c>
      <c r="G25">
        <v>29.4</v>
      </c>
      <c r="H25">
        <v>1092</v>
      </c>
    </row>
    <row r="28" spans="2:10">
      <c r="B28" t="s">
        <v>3317</v>
      </c>
    </row>
    <row r="29" spans="2:10">
      <c r="C29" t="s">
        <v>2180</v>
      </c>
      <c r="E29" t="s">
        <v>2187</v>
      </c>
      <c r="G29" t="s">
        <v>2193</v>
      </c>
      <c r="I29" t="s">
        <v>3243</v>
      </c>
    </row>
    <row r="30" spans="2:10">
      <c r="B30" t="s">
        <v>3314</v>
      </c>
      <c r="C30" t="s">
        <v>3315</v>
      </c>
      <c r="E30" t="s">
        <v>3315</v>
      </c>
      <c r="G30" t="s">
        <v>3315</v>
      </c>
      <c r="I30" t="s">
        <v>3315</v>
      </c>
    </row>
    <row r="31" spans="2:10">
      <c r="B31" t="s">
        <v>2670</v>
      </c>
      <c r="C31" t="s">
        <v>3316</v>
      </c>
      <c r="D31" t="s">
        <v>1322</v>
      </c>
      <c r="E31" t="s">
        <v>3316</v>
      </c>
      <c r="F31" t="s">
        <v>1322</v>
      </c>
      <c r="G31" t="s">
        <v>3316</v>
      </c>
      <c r="H31" t="s">
        <v>1322</v>
      </c>
      <c r="I31" t="s">
        <v>3316</v>
      </c>
      <c r="J31" t="s">
        <v>1322</v>
      </c>
    </row>
    <row r="32" spans="2:10">
      <c r="B32">
        <v>80</v>
      </c>
      <c r="C32">
        <v>7.2</v>
      </c>
      <c r="D32">
        <v>1273</v>
      </c>
      <c r="E32">
        <v>7.9</v>
      </c>
      <c r="F32">
        <v>1284</v>
      </c>
      <c r="G32">
        <v>8.6</v>
      </c>
      <c r="H32">
        <v>1293</v>
      </c>
      <c r="I32">
        <v>10</v>
      </c>
      <c r="J32">
        <v>1308</v>
      </c>
    </row>
    <row r="33" spans="2:10">
      <c r="B33">
        <v>100</v>
      </c>
      <c r="C33">
        <v>7.5</v>
      </c>
      <c r="D33">
        <v>1250</v>
      </c>
      <c r="E33">
        <v>8.3000000000000007</v>
      </c>
      <c r="F33">
        <v>1264</v>
      </c>
      <c r="G33">
        <v>9</v>
      </c>
      <c r="H33">
        <v>1273</v>
      </c>
      <c r="I33">
        <v>10.5</v>
      </c>
      <c r="J33">
        <v>1291</v>
      </c>
    </row>
    <row r="34" spans="2:10">
      <c r="B34">
        <v>150</v>
      </c>
      <c r="C34">
        <v>8.3000000000000007</v>
      </c>
      <c r="D34">
        <v>1205</v>
      </c>
      <c r="E34">
        <v>9.1999999999999993</v>
      </c>
      <c r="F34">
        <v>1221</v>
      </c>
      <c r="G34">
        <v>10</v>
      </c>
      <c r="H34">
        <v>1234</v>
      </c>
      <c r="I34">
        <v>11.7</v>
      </c>
      <c r="J34">
        <v>1255</v>
      </c>
    </row>
    <row r="35" spans="2:10">
      <c r="B35">
        <v>200</v>
      </c>
      <c r="C35">
        <v>9.1999999999999993</v>
      </c>
      <c r="D35">
        <v>1173</v>
      </c>
      <c r="E35">
        <v>10.1</v>
      </c>
      <c r="F35">
        <v>1189</v>
      </c>
      <c r="G35">
        <v>11</v>
      </c>
      <c r="H35">
        <v>1204</v>
      </c>
      <c r="I35">
        <v>12.8</v>
      </c>
      <c r="J35">
        <v>1228</v>
      </c>
    </row>
    <row r="36" spans="2:10">
      <c r="B36">
        <v>250</v>
      </c>
      <c r="C36">
        <v>10</v>
      </c>
      <c r="D36">
        <v>1146</v>
      </c>
      <c r="E36">
        <v>11</v>
      </c>
      <c r="F36">
        <v>1164</v>
      </c>
      <c r="G36">
        <v>12</v>
      </c>
      <c r="H36">
        <v>1180</v>
      </c>
      <c r="I36">
        <v>14</v>
      </c>
      <c r="J36">
        <v>1207</v>
      </c>
    </row>
    <row r="37" spans="2:10">
      <c r="B37">
        <v>300</v>
      </c>
      <c r="C37">
        <v>10.8</v>
      </c>
      <c r="D37">
        <v>1125</v>
      </c>
      <c r="E37">
        <v>11.9</v>
      </c>
      <c r="F37">
        <v>1144</v>
      </c>
      <c r="G37">
        <v>13</v>
      </c>
      <c r="H37">
        <v>1161</v>
      </c>
      <c r="I37">
        <v>15.2</v>
      </c>
      <c r="J37">
        <v>1190</v>
      </c>
    </row>
    <row r="38" spans="2:10">
      <c r="B38">
        <v>350</v>
      </c>
      <c r="C38">
        <v>11.7</v>
      </c>
      <c r="D38">
        <v>1109</v>
      </c>
      <c r="E38">
        <v>12.8</v>
      </c>
      <c r="F38">
        <v>1128</v>
      </c>
      <c r="G38">
        <v>14</v>
      </c>
      <c r="H38">
        <v>1146</v>
      </c>
      <c r="I38" t="s">
        <v>3318</v>
      </c>
      <c r="J38" t="s">
        <v>3318</v>
      </c>
    </row>
    <row r="39" spans="2:10">
      <c r="B39">
        <v>400</v>
      </c>
      <c r="C39">
        <v>12.5</v>
      </c>
      <c r="D39">
        <v>1095</v>
      </c>
      <c r="E39">
        <v>13.8</v>
      </c>
      <c r="F39">
        <v>1116</v>
      </c>
      <c r="G39">
        <v>15</v>
      </c>
      <c r="H39">
        <v>1133</v>
      </c>
      <c r="I39" t="s">
        <v>3318</v>
      </c>
      <c r="J39" t="s">
        <v>3318</v>
      </c>
    </row>
    <row r="40" spans="2:10">
      <c r="B40">
        <v>450</v>
      </c>
      <c r="C40">
        <v>13.3</v>
      </c>
      <c r="D40">
        <v>1082</v>
      </c>
      <c r="E40">
        <v>14.7</v>
      </c>
      <c r="F40">
        <v>1104</v>
      </c>
      <c r="G40">
        <v>16</v>
      </c>
      <c r="H40">
        <v>1122</v>
      </c>
      <c r="I40" t="s">
        <v>3318</v>
      </c>
      <c r="J40" t="s">
        <v>3318</v>
      </c>
    </row>
    <row r="41" spans="2:10">
      <c r="B41">
        <v>500</v>
      </c>
      <c r="C41">
        <v>14.2</v>
      </c>
      <c r="D41">
        <v>1074</v>
      </c>
      <c r="E41">
        <v>15.6</v>
      </c>
      <c r="F41">
        <v>1094</v>
      </c>
      <c r="G41">
        <v>17</v>
      </c>
      <c r="H41">
        <v>1113</v>
      </c>
      <c r="I41" t="s">
        <v>3318</v>
      </c>
      <c r="J41" t="s">
        <v>3318</v>
      </c>
    </row>
    <row r="42" spans="2:10">
      <c r="B42">
        <v>600</v>
      </c>
      <c r="C42">
        <v>15.8</v>
      </c>
      <c r="D42">
        <v>1056</v>
      </c>
      <c r="E42">
        <v>17.399999999999999</v>
      </c>
      <c r="F42">
        <v>1078</v>
      </c>
      <c r="G42">
        <v>19</v>
      </c>
      <c r="H42">
        <v>1098</v>
      </c>
      <c r="I42" t="s">
        <v>3318</v>
      </c>
      <c r="J42" t="s">
        <v>3318</v>
      </c>
    </row>
    <row r="43" spans="2:10">
      <c r="B43">
        <v>700</v>
      </c>
      <c r="C43">
        <v>17.5</v>
      </c>
      <c r="D43">
        <v>1044</v>
      </c>
      <c r="E43">
        <v>19.3</v>
      </c>
      <c r="F43">
        <v>1067</v>
      </c>
      <c r="G43">
        <v>21</v>
      </c>
      <c r="H43">
        <v>1086</v>
      </c>
      <c r="I43" t="s">
        <v>3318</v>
      </c>
      <c r="J43" t="s">
        <v>3318</v>
      </c>
    </row>
    <row r="50" spans="2:7">
      <c r="B50" t="s">
        <v>3319</v>
      </c>
    </row>
    <row r="51" spans="2:7">
      <c r="B51" t="s">
        <v>3314</v>
      </c>
      <c r="C51" t="s">
        <v>3315</v>
      </c>
      <c r="E51" t="s">
        <v>3314</v>
      </c>
      <c r="F51" t="s">
        <v>3315</v>
      </c>
    </row>
    <row r="52" spans="2:7">
      <c r="B52" t="s">
        <v>2670</v>
      </c>
      <c r="C52" t="s">
        <v>3316</v>
      </c>
      <c r="D52" t="s">
        <v>1322</v>
      </c>
      <c r="E52" t="s">
        <v>2670</v>
      </c>
      <c r="F52" t="s">
        <v>3316</v>
      </c>
      <c r="G52" t="s">
        <v>1322</v>
      </c>
    </row>
    <row r="53" spans="2:7">
      <c r="B53">
        <v>13</v>
      </c>
      <c r="C53">
        <v>3.3</v>
      </c>
      <c r="D53">
        <v>1395</v>
      </c>
      <c r="E53">
        <v>500</v>
      </c>
      <c r="F53">
        <v>5</v>
      </c>
      <c r="G53">
        <v>1014</v>
      </c>
    </row>
    <row r="54" spans="2:7">
      <c r="B54">
        <v>55</v>
      </c>
      <c r="C54">
        <v>2.9</v>
      </c>
      <c r="D54">
        <v>1307</v>
      </c>
      <c r="E54">
        <v>550</v>
      </c>
      <c r="F54">
        <v>6.3</v>
      </c>
      <c r="G54">
        <v>1048</v>
      </c>
    </row>
    <row r="55" spans="2:7">
      <c r="B55">
        <v>70</v>
      </c>
      <c r="C55">
        <v>3.2</v>
      </c>
      <c r="D55">
        <v>1292</v>
      </c>
      <c r="E55">
        <v>600</v>
      </c>
      <c r="F55">
        <v>6.3</v>
      </c>
      <c r="G55">
        <v>1027</v>
      </c>
    </row>
    <row r="56" spans="2:7">
      <c r="B56">
        <v>80</v>
      </c>
      <c r="C56">
        <v>3.2</v>
      </c>
      <c r="D56">
        <v>1271</v>
      </c>
      <c r="E56">
        <v>650</v>
      </c>
      <c r="F56">
        <v>6.3</v>
      </c>
      <c r="G56">
        <v>1007</v>
      </c>
    </row>
    <row r="57" spans="2:7">
      <c r="B57">
        <v>110</v>
      </c>
      <c r="C57">
        <v>3.6</v>
      </c>
      <c r="D57">
        <v>1252</v>
      </c>
      <c r="E57">
        <v>700</v>
      </c>
      <c r="F57">
        <v>6.3</v>
      </c>
      <c r="G57">
        <v>987</v>
      </c>
    </row>
    <row r="58" spans="2:7">
      <c r="B58">
        <v>130</v>
      </c>
      <c r="C58">
        <v>3.6</v>
      </c>
      <c r="D58">
        <v>1221</v>
      </c>
      <c r="E58">
        <v>750</v>
      </c>
      <c r="F58">
        <v>6.3</v>
      </c>
      <c r="G58">
        <v>969</v>
      </c>
    </row>
    <row r="59" spans="2:7">
      <c r="B59">
        <v>160</v>
      </c>
      <c r="C59">
        <v>3.6</v>
      </c>
      <c r="D59">
        <v>1187</v>
      </c>
      <c r="E59">
        <v>800</v>
      </c>
      <c r="F59">
        <v>7.1</v>
      </c>
      <c r="G59">
        <v>984</v>
      </c>
    </row>
    <row r="60" spans="2:7">
      <c r="B60">
        <v>180</v>
      </c>
      <c r="C60">
        <v>4</v>
      </c>
      <c r="D60">
        <v>1181</v>
      </c>
      <c r="E60">
        <v>850</v>
      </c>
      <c r="F60">
        <v>7.1</v>
      </c>
      <c r="G60">
        <v>968</v>
      </c>
    </row>
    <row r="61" spans="2:7">
      <c r="B61">
        <v>210</v>
      </c>
      <c r="C61">
        <v>4</v>
      </c>
      <c r="D61">
        <v>1156</v>
      </c>
      <c r="E61">
        <v>900</v>
      </c>
      <c r="F61">
        <v>7.1</v>
      </c>
      <c r="G61">
        <v>953</v>
      </c>
    </row>
    <row r="62" spans="2:7">
      <c r="B62">
        <v>240</v>
      </c>
      <c r="C62">
        <v>4</v>
      </c>
      <c r="D62">
        <v>1134</v>
      </c>
      <c r="E62">
        <v>1000</v>
      </c>
      <c r="F62">
        <v>7.1</v>
      </c>
      <c r="G62">
        <v>924</v>
      </c>
    </row>
    <row r="63" spans="2:7">
      <c r="B63">
        <v>260</v>
      </c>
      <c r="C63">
        <v>4</v>
      </c>
      <c r="D63">
        <v>1110</v>
      </c>
      <c r="E63">
        <v>1200</v>
      </c>
      <c r="F63">
        <v>8</v>
      </c>
      <c r="G63">
        <v>907</v>
      </c>
    </row>
    <row r="64" spans="2:7">
      <c r="B64">
        <v>320</v>
      </c>
      <c r="C64">
        <v>4</v>
      </c>
      <c r="D64">
        <v>1070</v>
      </c>
      <c r="E64">
        <v>1400</v>
      </c>
      <c r="F64">
        <v>8.8000000000000007</v>
      </c>
      <c r="G64">
        <v>892</v>
      </c>
    </row>
    <row r="65" spans="2:7">
      <c r="B65">
        <v>350</v>
      </c>
      <c r="C65">
        <v>4.5</v>
      </c>
      <c r="D65">
        <v>1076</v>
      </c>
      <c r="E65">
        <v>1600</v>
      </c>
      <c r="F65">
        <v>10</v>
      </c>
      <c r="G65">
        <v>891</v>
      </c>
    </row>
    <row r="66" spans="2:7">
      <c r="B66">
        <v>400</v>
      </c>
      <c r="C66">
        <v>4.5</v>
      </c>
      <c r="D66">
        <v>1044</v>
      </c>
      <c r="E66">
        <v>1800</v>
      </c>
      <c r="F66">
        <v>11</v>
      </c>
      <c r="G66">
        <v>885</v>
      </c>
    </row>
    <row r="67" spans="2:7">
      <c r="B67">
        <v>450</v>
      </c>
      <c r="C67">
        <v>5</v>
      </c>
      <c r="D67">
        <v>1041</v>
      </c>
      <c r="E67">
        <v>2000</v>
      </c>
      <c r="F67">
        <v>12.5</v>
      </c>
      <c r="G67">
        <v>891</v>
      </c>
    </row>
    <row r="68" spans="2:7">
      <c r="E68">
        <v>2200</v>
      </c>
      <c r="F68">
        <v>14.2</v>
      </c>
      <c r="G68">
        <v>900</v>
      </c>
    </row>
    <row r="69" spans="2:7">
      <c r="B69" t="s">
        <v>927</v>
      </c>
    </row>
    <row r="70" spans="2:7">
      <c r="B70" t="s">
        <v>3314</v>
      </c>
      <c r="C70" t="s">
        <v>3315</v>
      </c>
    </row>
    <row r="71" spans="2:7">
      <c r="B71" t="s">
        <v>2670</v>
      </c>
      <c r="C71" t="s">
        <v>3316</v>
      </c>
      <c r="D71" t="s">
        <v>1322</v>
      </c>
    </row>
    <row r="72" spans="2:7">
      <c r="B72">
        <v>4</v>
      </c>
      <c r="C72">
        <v>0.8</v>
      </c>
      <c r="D72">
        <v>1373</v>
      </c>
    </row>
    <row r="73" spans="2:7">
      <c r="B73">
        <v>6</v>
      </c>
      <c r="C73">
        <v>0.8</v>
      </c>
      <c r="D73">
        <v>1354</v>
      </c>
    </row>
    <row r="74" spans="2:7">
      <c r="B74">
        <v>8</v>
      </c>
      <c r="C74">
        <v>0.8</v>
      </c>
      <c r="D74">
        <v>1335</v>
      </c>
    </row>
    <row r="75" spans="2:7">
      <c r="B75">
        <v>10</v>
      </c>
      <c r="C75" t="s">
        <v>3318</v>
      </c>
      <c r="D75">
        <v>1317</v>
      </c>
    </row>
    <row r="76" spans="2:7">
      <c r="B76">
        <v>13</v>
      </c>
      <c r="C76">
        <v>1</v>
      </c>
      <c r="D76">
        <v>1265</v>
      </c>
    </row>
    <row r="77" spans="2:7">
      <c r="B77">
        <v>16</v>
      </c>
      <c r="C77">
        <v>1</v>
      </c>
      <c r="D77">
        <v>1237</v>
      </c>
    </row>
    <row r="78" spans="2:7">
      <c r="B78">
        <v>20</v>
      </c>
      <c r="C78">
        <v>1.2</v>
      </c>
      <c r="D78">
        <v>1170</v>
      </c>
    </row>
    <row r="79" spans="2:7">
      <c r="B79">
        <v>26</v>
      </c>
      <c r="C79">
        <v>1.2</v>
      </c>
      <c r="D79">
        <v>1118</v>
      </c>
    </row>
    <row r="80" spans="2:7">
      <c r="B80">
        <v>32</v>
      </c>
      <c r="C80">
        <v>1.5</v>
      </c>
      <c r="D80">
        <v>1013</v>
      </c>
    </row>
    <row r="81" spans="2:8">
      <c r="B81">
        <v>39</v>
      </c>
      <c r="C81">
        <v>1.5</v>
      </c>
      <c r="D81">
        <v>965</v>
      </c>
    </row>
    <row r="82" spans="2:8">
      <c r="B82">
        <v>50</v>
      </c>
      <c r="C82">
        <v>2</v>
      </c>
      <c r="D82">
        <v>819</v>
      </c>
    </row>
    <row r="83" spans="2:8">
      <c r="B83">
        <v>72</v>
      </c>
      <c r="C83">
        <v>2</v>
      </c>
      <c r="D83">
        <v>723</v>
      </c>
    </row>
    <row r="84" spans="2:8">
      <c r="B84">
        <v>103</v>
      </c>
      <c r="C84">
        <v>2.5</v>
      </c>
      <c r="D84">
        <v>575</v>
      </c>
    </row>
    <row r="86" spans="2:8">
      <c r="B86">
        <v>95</v>
      </c>
    </row>
    <row r="89" spans="2:8">
      <c r="B89" t="s">
        <v>3320</v>
      </c>
    </row>
    <row r="90" spans="2:8">
      <c r="C90" t="s">
        <v>3321</v>
      </c>
      <c r="E90" t="s">
        <v>3322</v>
      </c>
      <c r="G90" t="s">
        <v>3323</v>
      </c>
    </row>
    <row r="91" spans="2:8">
      <c r="B91" t="s">
        <v>3314</v>
      </c>
      <c r="C91" t="s">
        <v>3315</v>
      </c>
      <c r="E91" t="s">
        <v>3315</v>
      </c>
      <c r="G91" t="s">
        <v>3315</v>
      </c>
    </row>
    <row r="92" spans="2:8">
      <c r="B92" t="s">
        <v>2670</v>
      </c>
      <c r="C92" t="s">
        <v>3316</v>
      </c>
      <c r="D92" t="s">
        <v>1322</v>
      </c>
      <c r="E92" t="s">
        <v>3316</v>
      </c>
      <c r="F92" t="s">
        <v>1322</v>
      </c>
      <c r="G92" t="s">
        <v>3316</v>
      </c>
      <c r="H92" t="s">
        <v>1322</v>
      </c>
    </row>
    <row r="93" spans="2:8">
      <c r="B93">
        <v>150</v>
      </c>
      <c r="C93">
        <v>25</v>
      </c>
      <c r="D93">
        <v>1181</v>
      </c>
      <c r="E93" t="s">
        <v>3318</v>
      </c>
      <c r="F93" t="s">
        <v>3318</v>
      </c>
      <c r="G93" t="s">
        <v>3318</v>
      </c>
      <c r="H93" t="s">
        <v>3318</v>
      </c>
    </row>
    <row r="94" spans="2:8">
      <c r="B94">
        <v>225</v>
      </c>
      <c r="C94">
        <v>29</v>
      </c>
      <c r="D94">
        <v>1136</v>
      </c>
      <c r="E94" t="s">
        <v>3318</v>
      </c>
      <c r="F94" t="s">
        <v>3318</v>
      </c>
      <c r="G94" t="s">
        <v>3318</v>
      </c>
      <c r="H94" t="s">
        <v>3318</v>
      </c>
    </row>
    <row r="95" spans="2:8">
      <c r="B95">
        <v>300</v>
      </c>
      <c r="C95">
        <v>35</v>
      </c>
      <c r="D95">
        <v>1117</v>
      </c>
      <c r="E95">
        <v>35</v>
      </c>
      <c r="F95">
        <v>1117</v>
      </c>
      <c r="G95" t="s">
        <v>3318</v>
      </c>
      <c r="H95" t="s">
        <v>3318</v>
      </c>
    </row>
    <row r="96" spans="2:8">
      <c r="B96">
        <v>375</v>
      </c>
      <c r="C96">
        <v>44</v>
      </c>
      <c r="D96">
        <v>1125</v>
      </c>
      <c r="E96">
        <v>44</v>
      </c>
      <c r="F96">
        <v>1125</v>
      </c>
      <c r="G96">
        <v>44</v>
      </c>
      <c r="H96">
        <v>1125</v>
      </c>
    </row>
    <row r="97" spans="2:8">
      <c r="B97">
        <v>450</v>
      </c>
      <c r="C97">
        <v>65</v>
      </c>
      <c r="D97">
        <v>1164</v>
      </c>
      <c r="E97">
        <v>65</v>
      </c>
      <c r="F97">
        <v>1164</v>
      </c>
      <c r="G97">
        <v>65</v>
      </c>
      <c r="H97">
        <v>1164</v>
      </c>
    </row>
    <row r="98" spans="2:8">
      <c r="B98">
        <v>525</v>
      </c>
      <c r="C98">
        <v>75</v>
      </c>
      <c r="D98">
        <v>1161</v>
      </c>
      <c r="E98">
        <v>75</v>
      </c>
      <c r="F98">
        <v>1161</v>
      </c>
      <c r="G98">
        <v>75</v>
      </c>
      <c r="H98">
        <v>1161</v>
      </c>
    </row>
    <row r="99" spans="2:8">
      <c r="B99">
        <v>600</v>
      </c>
      <c r="C99">
        <v>54</v>
      </c>
      <c r="D99">
        <v>1068</v>
      </c>
      <c r="E99">
        <v>54</v>
      </c>
      <c r="F99">
        <v>1068</v>
      </c>
      <c r="G99">
        <v>54</v>
      </c>
      <c r="H99">
        <v>1068</v>
      </c>
    </row>
    <row r="100" spans="2:8">
      <c r="B100">
        <v>675</v>
      </c>
      <c r="C100">
        <v>51</v>
      </c>
      <c r="D100">
        <v>1025</v>
      </c>
      <c r="E100">
        <v>56</v>
      </c>
      <c r="F100">
        <v>1050</v>
      </c>
      <c r="G100">
        <v>56</v>
      </c>
      <c r="H100">
        <v>1050</v>
      </c>
    </row>
    <row r="101" spans="2:8">
      <c r="B101">
        <v>750</v>
      </c>
      <c r="C101">
        <v>70</v>
      </c>
      <c r="D101">
        <v>1081</v>
      </c>
      <c r="E101">
        <v>70</v>
      </c>
      <c r="F101">
        <v>1081</v>
      </c>
      <c r="G101">
        <v>70</v>
      </c>
      <c r="H101">
        <v>1081</v>
      </c>
    </row>
    <row r="102" spans="2:8">
      <c r="B102">
        <v>825</v>
      </c>
      <c r="C102">
        <v>63</v>
      </c>
      <c r="D102">
        <v>1031</v>
      </c>
      <c r="E102">
        <v>63</v>
      </c>
      <c r="F102">
        <v>1031</v>
      </c>
      <c r="G102">
        <v>70</v>
      </c>
      <c r="H102">
        <v>1058</v>
      </c>
    </row>
    <row r="103" spans="2:8">
      <c r="B103">
        <v>900</v>
      </c>
      <c r="C103">
        <v>67</v>
      </c>
      <c r="D103">
        <v>1025</v>
      </c>
      <c r="E103">
        <v>67</v>
      </c>
      <c r="F103">
        <v>1025</v>
      </c>
      <c r="G103">
        <v>80</v>
      </c>
      <c r="H103">
        <v>1065</v>
      </c>
    </row>
    <row r="104" spans="2:8">
      <c r="B104">
        <v>975</v>
      </c>
      <c r="C104">
        <v>71</v>
      </c>
      <c r="D104">
        <v>1020</v>
      </c>
      <c r="E104">
        <v>71</v>
      </c>
      <c r="F104">
        <v>1020</v>
      </c>
      <c r="G104">
        <v>85</v>
      </c>
      <c r="H104">
        <v>1061</v>
      </c>
    </row>
    <row r="105" spans="2:8">
      <c r="B105">
        <v>1050</v>
      </c>
      <c r="C105">
        <v>73</v>
      </c>
      <c r="D105">
        <v>1010</v>
      </c>
      <c r="E105">
        <v>80</v>
      </c>
      <c r="F105">
        <v>1026</v>
      </c>
      <c r="G105">
        <v>90</v>
      </c>
      <c r="H105">
        <v>1057</v>
      </c>
    </row>
    <row r="106" spans="2:8">
      <c r="B106">
        <v>1125</v>
      </c>
      <c r="C106">
        <v>76</v>
      </c>
      <c r="D106">
        <v>999</v>
      </c>
      <c r="E106">
        <v>85</v>
      </c>
      <c r="F106">
        <v>1029</v>
      </c>
      <c r="G106">
        <v>85</v>
      </c>
      <c r="H106">
        <v>1029</v>
      </c>
    </row>
    <row r="107" spans="2:8">
      <c r="B107">
        <v>1200</v>
      </c>
      <c r="C107">
        <v>83</v>
      </c>
      <c r="D107">
        <v>1007</v>
      </c>
      <c r="E107">
        <v>86</v>
      </c>
      <c r="F107">
        <v>1016</v>
      </c>
      <c r="G107">
        <v>86</v>
      </c>
      <c r="H107">
        <v>1016</v>
      </c>
    </row>
    <row r="108" spans="2:8">
      <c r="B108">
        <v>1275</v>
      </c>
      <c r="C108">
        <v>76</v>
      </c>
      <c r="D108">
        <v>968</v>
      </c>
      <c r="E108">
        <v>87</v>
      </c>
      <c r="F108">
        <v>1005</v>
      </c>
      <c r="G108">
        <v>92</v>
      </c>
      <c r="H108">
        <v>1020</v>
      </c>
    </row>
    <row r="109" spans="2:8">
      <c r="B109">
        <v>1350</v>
      </c>
      <c r="C109">
        <v>89</v>
      </c>
      <c r="D109">
        <v>993</v>
      </c>
      <c r="E109">
        <v>100</v>
      </c>
      <c r="F109">
        <v>1024</v>
      </c>
      <c r="G109">
        <v>108</v>
      </c>
      <c r="H109">
        <v>1044</v>
      </c>
    </row>
    <row r="110" spans="2:8">
      <c r="B110">
        <v>1425</v>
      </c>
      <c r="C110">
        <v>95</v>
      </c>
      <c r="D110">
        <v>995</v>
      </c>
      <c r="E110">
        <v>106</v>
      </c>
      <c r="F110">
        <v>1025</v>
      </c>
      <c r="G110">
        <v>106</v>
      </c>
      <c r="H110">
        <v>1025</v>
      </c>
    </row>
    <row r="111" spans="2:8">
      <c r="B111">
        <v>1500</v>
      </c>
      <c r="C111">
        <v>95</v>
      </c>
      <c r="D111">
        <v>983</v>
      </c>
      <c r="E111">
        <v>102</v>
      </c>
      <c r="F111">
        <v>1002</v>
      </c>
      <c r="G111">
        <v>108</v>
      </c>
      <c r="H111">
        <v>1017</v>
      </c>
    </row>
    <row r="112" spans="2:8">
      <c r="B112">
        <v>1575</v>
      </c>
      <c r="C112">
        <v>102</v>
      </c>
      <c r="D112">
        <v>988</v>
      </c>
      <c r="E112">
        <v>114</v>
      </c>
      <c r="F112">
        <v>1019</v>
      </c>
      <c r="G112">
        <v>114</v>
      </c>
      <c r="H112">
        <v>1019</v>
      </c>
    </row>
    <row r="113" spans="2:8">
      <c r="B113">
        <v>1650</v>
      </c>
      <c r="C113">
        <v>102</v>
      </c>
      <c r="D113">
        <v>977</v>
      </c>
      <c r="E113">
        <v>102</v>
      </c>
      <c r="F113">
        <v>977</v>
      </c>
      <c r="G113">
        <v>121</v>
      </c>
      <c r="H113">
        <v>1023</v>
      </c>
    </row>
    <row r="114" spans="2:8">
      <c r="B114">
        <v>1725</v>
      </c>
      <c r="C114">
        <v>108</v>
      </c>
      <c r="D114">
        <v>980</v>
      </c>
      <c r="E114">
        <v>121</v>
      </c>
      <c r="F114">
        <v>1011</v>
      </c>
      <c r="G114">
        <v>152</v>
      </c>
      <c r="H114">
        <v>1059</v>
      </c>
    </row>
    <row r="115" spans="2:8">
      <c r="B115">
        <v>1800</v>
      </c>
      <c r="C115">
        <v>114</v>
      </c>
      <c r="D115">
        <v>984</v>
      </c>
      <c r="E115">
        <v>127</v>
      </c>
      <c r="F115">
        <v>1012</v>
      </c>
      <c r="G115">
        <v>127</v>
      </c>
      <c r="H115">
        <v>1012</v>
      </c>
    </row>
    <row r="116" spans="2:8">
      <c r="B116">
        <v>1875</v>
      </c>
      <c r="C116">
        <v>114</v>
      </c>
      <c r="D116">
        <v>973</v>
      </c>
      <c r="E116">
        <v>127</v>
      </c>
      <c r="F116">
        <v>1002</v>
      </c>
      <c r="G116">
        <v>133</v>
      </c>
      <c r="H116">
        <v>1015</v>
      </c>
    </row>
    <row r="117" spans="2:8">
      <c r="B117">
        <v>1950</v>
      </c>
      <c r="C117">
        <v>115</v>
      </c>
      <c r="D117">
        <v>966</v>
      </c>
      <c r="E117">
        <v>133</v>
      </c>
      <c r="F117">
        <v>1005</v>
      </c>
      <c r="G117">
        <v>140</v>
      </c>
      <c r="H117">
        <v>1019</v>
      </c>
    </row>
    <row r="118" spans="2:8">
      <c r="B118">
        <v>2100</v>
      </c>
      <c r="C118">
        <v>126</v>
      </c>
      <c r="D118">
        <v>972</v>
      </c>
      <c r="E118">
        <v>126</v>
      </c>
      <c r="F118">
        <v>972</v>
      </c>
      <c r="G118">
        <v>126</v>
      </c>
      <c r="H118">
        <v>972</v>
      </c>
    </row>
    <row r="119" spans="2:8">
      <c r="B119">
        <v>2550</v>
      </c>
      <c r="C119">
        <v>165</v>
      </c>
      <c r="D119">
        <v>992</v>
      </c>
      <c r="E119">
        <v>165</v>
      </c>
      <c r="F119">
        <v>992</v>
      </c>
      <c r="G119">
        <v>165</v>
      </c>
      <c r="H119">
        <v>992</v>
      </c>
    </row>
    <row r="121" spans="2:8">
      <c r="B121" t="s">
        <v>3324</v>
      </c>
    </row>
    <row r="123" spans="2:8">
      <c r="B123" t="s">
        <v>3325</v>
      </c>
    </row>
    <row r="124" spans="2:8">
      <c r="B124" t="s">
        <v>2670</v>
      </c>
      <c r="C124">
        <v>700</v>
      </c>
      <c r="D124">
        <v>800</v>
      </c>
      <c r="E124">
        <v>900</v>
      </c>
      <c r="F124">
        <v>1000</v>
      </c>
    </row>
    <row r="125" spans="2:8">
      <c r="B125" t="s">
        <v>3326</v>
      </c>
      <c r="C125">
        <v>21</v>
      </c>
      <c r="D125">
        <v>24</v>
      </c>
      <c r="E125">
        <v>27</v>
      </c>
      <c r="F125">
        <v>30</v>
      </c>
    </row>
    <row r="126" spans="2:8">
      <c r="B126" t="s">
        <v>1322</v>
      </c>
      <c r="C126">
        <v>735</v>
      </c>
      <c r="D126">
        <v>735</v>
      </c>
      <c r="E126">
        <v>735</v>
      </c>
      <c r="F126">
        <v>735</v>
      </c>
    </row>
    <row r="128" spans="2:8">
      <c r="B128" t="s">
        <v>3327</v>
      </c>
    </row>
    <row r="129" spans="2:9">
      <c r="B129" t="s">
        <v>2670</v>
      </c>
      <c r="C129">
        <v>500</v>
      </c>
      <c r="D129">
        <v>600</v>
      </c>
      <c r="E129">
        <v>700</v>
      </c>
      <c r="F129">
        <v>800</v>
      </c>
      <c r="G129">
        <v>900</v>
      </c>
      <c r="H129">
        <v>1000</v>
      </c>
    </row>
    <row r="130" spans="2:9">
      <c r="B130" t="s">
        <v>3326</v>
      </c>
      <c r="C130">
        <v>18</v>
      </c>
      <c r="D130">
        <v>21</v>
      </c>
      <c r="E130">
        <v>23</v>
      </c>
      <c r="F130">
        <v>26</v>
      </c>
      <c r="G130">
        <v>27</v>
      </c>
      <c r="H130">
        <v>30</v>
      </c>
    </row>
    <row r="131" spans="2:9">
      <c r="B131" t="s">
        <v>1322</v>
      </c>
      <c r="C131">
        <v>783</v>
      </c>
      <c r="D131">
        <v>776</v>
      </c>
      <c r="E131">
        <v>759</v>
      </c>
      <c r="F131">
        <v>756</v>
      </c>
      <c r="G131">
        <v>735</v>
      </c>
      <c r="H131">
        <v>735</v>
      </c>
    </row>
    <row r="133" spans="2:9">
      <c r="B133" t="s">
        <v>3328</v>
      </c>
    </row>
    <row r="134" spans="2:9">
      <c r="B134" t="s">
        <v>2670</v>
      </c>
      <c r="C134">
        <v>200</v>
      </c>
      <c r="D134">
        <v>250</v>
      </c>
      <c r="E134">
        <v>300</v>
      </c>
      <c r="F134">
        <v>350</v>
      </c>
      <c r="G134">
        <v>400</v>
      </c>
      <c r="H134">
        <v>450</v>
      </c>
      <c r="I134">
        <v>500</v>
      </c>
    </row>
    <row r="135" spans="2:9">
      <c r="B135" t="s">
        <v>3326</v>
      </c>
      <c r="C135">
        <v>10</v>
      </c>
      <c r="D135">
        <v>11</v>
      </c>
      <c r="E135">
        <v>12</v>
      </c>
      <c r="F135">
        <v>13</v>
      </c>
      <c r="G135">
        <v>15</v>
      </c>
      <c r="H135">
        <v>17</v>
      </c>
      <c r="I135">
        <v>22</v>
      </c>
    </row>
    <row r="136" spans="2:9">
      <c r="B136" t="s">
        <v>1322</v>
      </c>
      <c r="C136">
        <v>870</v>
      </c>
      <c r="D136">
        <v>836</v>
      </c>
      <c r="E136">
        <v>811</v>
      </c>
      <c r="F136">
        <v>791</v>
      </c>
      <c r="G136">
        <v>794</v>
      </c>
      <c r="H136">
        <v>796</v>
      </c>
      <c r="I136">
        <v>836</v>
      </c>
    </row>
    <row r="138" spans="2:9">
      <c r="B138" t="s">
        <v>3329</v>
      </c>
    </row>
    <row r="139" spans="2:9">
      <c r="B139" t="s">
        <v>2670</v>
      </c>
      <c r="C139">
        <v>150</v>
      </c>
      <c r="D139">
        <v>200</v>
      </c>
      <c r="E139" t="s">
        <v>3318</v>
      </c>
      <c r="F139">
        <v>250</v>
      </c>
      <c r="G139">
        <v>300</v>
      </c>
      <c r="H139">
        <v>350</v>
      </c>
      <c r="I139">
        <v>400</v>
      </c>
    </row>
    <row r="140" spans="2:9">
      <c r="B140" t="s">
        <v>3326</v>
      </c>
      <c r="C140">
        <v>10</v>
      </c>
      <c r="D140">
        <v>11</v>
      </c>
      <c r="E140" t="s">
        <v>3318</v>
      </c>
      <c r="F140">
        <v>12</v>
      </c>
      <c r="G140">
        <v>14</v>
      </c>
      <c r="H140">
        <v>16</v>
      </c>
      <c r="I140">
        <v>18</v>
      </c>
    </row>
    <row r="141" spans="2:9">
      <c r="B141" t="s">
        <v>1322</v>
      </c>
      <c r="C141">
        <v>943</v>
      </c>
      <c r="D141">
        <v>894</v>
      </c>
      <c r="E141" t="s">
        <v>3318</v>
      </c>
      <c r="F141">
        <v>859</v>
      </c>
      <c r="G141">
        <v>852</v>
      </c>
      <c r="H141">
        <v>846</v>
      </c>
      <c r="I141">
        <v>842</v>
      </c>
    </row>
    <row r="142" spans="2:9">
      <c r="B142" t="s">
        <v>3330</v>
      </c>
    </row>
    <row r="143" spans="2:9">
      <c r="B143" t="s">
        <v>2670</v>
      </c>
      <c r="C143">
        <v>125</v>
      </c>
      <c r="D143">
        <v>200</v>
      </c>
      <c r="E143">
        <v>250</v>
      </c>
      <c r="F143">
        <v>300</v>
      </c>
      <c r="G143">
        <v>350</v>
      </c>
      <c r="H143">
        <v>400</v>
      </c>
      <c r="I143">
        <v>450</v>
      </c>
    </row>
    <row r="144" spans="2:9">
      <c r="B144" t="s">
        <v>3326</v>
      </c>
      <c r="C144">
        <v>10</v>
      </c>
      <c r="D144">
        <v>13</v>
      </c>
      <c r="E144">
        <v>14</v>
      </c>
      <c r="F144">
        <v>16</v>
      </c>
      <c r="G144">
        <v>19</v>
      </c>
      <c r="H144">
        <v>22</v>
      </c>
      <c r="I144">
        <v>24</v>
      </c>
    </row>
    <row r="145" spans="2:9">
      <c r="B145" t="s">
        <v>1322</v>
      </c>
      <c r="C145">
        <v>988</v>
      </c>
      <c r="D145">
        <v>937</v>
      </c>
      <c r="E145">
        <v>899</v>
      </c>
      <c r="F145">
        <v>886</v>
      </c>
      <c r="G145">
        <v>891</v>
      </c>
      <c r="H145">
        <v>894</v>
      </c>
      <c r="I145">
        <v>886</v>
      </c>
    </row>
    <row r="147" spans="2:9">
      <c r="B147" t="s">
        <v>3331</v>
      </c>
    </row>
    <row r="148" spans="2:9">
      <c r="B148" t="s">
        <v>2670</v>
      </c>
      <c r="C148">
        <v>100</v>
      </c>
      <c r="D148">
        <v>125</v>
      </c>
      <c r="E148">
        <v>150</v>
      </c>
      <c r="F148">
        <v>200</v>
      </c>
      <c r="G148" t="s">
        <v>3318</v>
      </c>
      <c r="H148">
        <v>250</v>
      </c>
      <c r="I148">
        <v>300</v>
      </c>
    </row>
    <row r="149" spans="2:9">
      <c r="B149" t="s">
        <v>3326</v>
      </c>
      <c r="C149">
        <v>10</v>
      </c>
      <c r="D149">
        <v>12</v>
      </c>
      <c r="E149">
        <v>13</v>
      </c>
      <c r="F149">
        <v>16</v>
      </c>
      <c r="G149" t="s">
        <v>3318</v>
      </c>
      <c r="H149">
        <v>17</v>
      </c>
      <c r="I149">
        <v>20</v>
      </c>
    </row>
    <row r="150" spans="2:9">
      <c r="B150" t="s">
        <v>1322</v>
      </c>
      <c r="C150">
        <v>1039</v>
      </c>
      <c r="D150">
        <v>1030</v>
      </c>
      <c r="E150">
        <v>1006</v>
      </c>
      <c r="F150">
        <v>988</v>
      </c>
      <c r="G150" t="s">
        <v>3318</v>
      </c>
      <c r="H150">
        <v>948</v>
      </c>
      <c r="I150">
        <v>943</v>
      </c>
    </row>
    <row r="152" spans="2:9">
      <c r="B152" t="s">
        <v>3332</v>
      </c>
    </row>
    <row r="153" spans="2:9">
      <c r="B153" t="s">
        <v>2670</v>
      </c>
      <c r="C153">
        <v>600</v>
      </c>
      <c r="D153">
        <v>700</v>
      </c>
      <c r="E153">
        <v>800</v>
      </c>
      <c r="F153">
        <v>900</v>
      </c>
      <c r="G153">
        <v>1000</v>
      </c>
    </row>
    <row r="154" spans="2:9">
      <c r="B154" t="s">
        <v>3326</v>
      </c>
      <c r="C154">
        <v>48</v>
      </c>
      <c r="D154">
        <v>54</v>
      </c>
      <c r="E154">
        <v>62</v>
      </c>
      <c r="F154">
        <v>71</v>
      </c>
      <c r="G154">
        <v>79</v>
      </c>
    </row>
    <row r="155" spans="2:9">
      <c r="B155" t="s">
        <v>1322</v>
      </c>
      <c r="C155">
        <v>988</v>
      </c>
      <c r="D155">
        <v>979</v>
      </c>
      <c r="E155">
        <v>980</v>
      </c>
      <c r="F155">
        <v>984</v>
      </c>
      <c r="G155">
        <v>985</v>
      </c>
    </row>
    <row r="157" spans="2:9">
      <c r="B157" t="s">
        <v>3333</v>
      </c>
    </row>
    <row r="158" spans="2:9">
      <c r="B158" t="s">
        <v>2670</v>
      </c>
      <c r="C158">
        <v>80</v>
      </c>
      <c r="D158">
        <v>100</v>
      </c>
      <c r="E158">
        <v>125</v>
      </c>
      <c r="F158">
        <v>150</v>
      </c>
      <c r="G158">
        <v>200</v>
      </c>
      <c r="H158">
        <v>250</v>
      </c>
      <c r="I158">
        <v>300</v>
      </c>
    </row>
    <row r="159" spans="2:9">
      <c r="B159" t="s">
        <v>3326</v>
      </c>
      <c r="C159">
        <v>10</v>
      </c>
      <c r="D159">
        <v>12</v>
      </c>
      <c r="E159">
        <v>12</v>
      </c>
      <c r="F159">
        <v>15</v>
      </c>
      <c r="G159">
        <v>19</v>
      </c>
      <c r="H159">
        <v>21</v>
      </c>
      <c r="I159">
        <v>25</v>
      </c>
    </row>
    <row r="160" spans="2:9">
      <c r="B160" t="s">
        <v>1322</v>
      </c>
      <c r="C160">
        <v>1087</v>
      </c>
      <c r="D160">
        <v>1078</v>
      </c>
      <c r="E160">
        <v>1030</v>
      </c>
      <c r="F160">
        <v>1039</v>
      </c>
      <c r="G160">
        <v>1028</v>
      </c>
      <c r="H160">
        <v>999</v>
      </c>
      <c r="I160">
        <v>997</v>
      </c>
    </row>
    <row r="162" spans="2:9">
      <c r="B162" t="s">
        <v>3334</v>
      </c>
    </row>
    <row r="163" spans="2:9">
      <c r="B163" t="s">
        <v>2670</v>
      </c>
      <c r="C163">
        <v>80</v>
      </c>
      <c r="D163">
        <v>100</v>
      </c>
      <c r="E163">
        <v>125</v>
      </c>
      <c r="F163">
        <v>150</v>
      </c>
      <c r="G163">
        <v>200</v>
      </c>
      <c r="H163">
        <v>250</v>
      </c>
      <c r="I163">
        <v>300</v>
      </c>
    </row>
    <row r="164" spans="2:9">
      <c r="B164" t="s">
        <v>3326</v>
      </c>
      <c r="C164">
        <v>11</v>
      </c>
      <c r="D164">
        <v>14</v>
      </c>
      <c r="E164">
        <v>14</v>
      </c>
      <c r="F164">
        <v>17</v>
      </c>
      <c r="G164">
        <v>22</v>
      </c>
      <c r="H164">
        <v>25</v>
      </c>
      <c r="I164">
        <v>30</v>
      </c>
    </row>
    <row r="165" spans="2:9">
      <c r="B165" t="s">
        <v>1322</v>
      </c>
      <c r="C165">
        <v>1106</v>
      </c>
      <c r="D165">
        <v>1109</v>
      </c>
      <c r="E165">
        <v>1064</v>
      </c>
      <c r="F165">
        <v>1066</v>
      </c>
      <c r="G165">
        <v>1060</v>
      </c>
      <c r="H165">
        <v>1039</v>
      </c>
      <c r="I165">
        <v>1039</v>
      </c>
    </row>
    <row r="167" spans="2:9">
      <c r="B167" t="s">
        <v>3335</v>
      </c>
    </row>
    <row r="168" spans="2:9">
      <c r="B168" t="s">
        <v>2670</v>
      </c>
      <c r="C168">
        <v>80</v>
      </c>
      <c r="D168">
        <v>100</v>
      </c>
      <c r="E168">
        <v>125</v>
      </c>
      <c r="F168">
        <v>150</v>
      </c>
      <c r="G168">
        <v>200</v>
      </c>
      <c r="H168">
        <v>250</v>
      </c>
      <c r="I168">
        <v>300</v>
      </c>
    </row>
    <row r="169" spans="2:9">
      <c r="B169" t="s">
        <v>3326</v>
      </c>
      <c r="C169">
        <v>12</v>
      </c>
      <c r="D169">
        <v>17</v>
      </c>
      <c r="E169">
        <v>18</v>
      </c>
      <c r="F169">
        <v>22</v>
      </c>
      <c r="G169">
        <v>29</v>
      </c>
      <c r="H169">
        <v>30</v>
      </c>
      <c r="I169">
        <v>36</v>
      </c>
    </row>
    <row r="170" spans="2:9">
      <c r="B170" t="s">
        <v>1322</v>
      </c>
      <c r="C170">
        <v>1122</v>
      </c>
      <c r="D170">
        <v>1145</v>
      </c>
      <c r="E170">
        <v>1114</v>
      </c>
      <c r="F170">
        <v>1118</v>
      </c>
      <c r="G170">
        <v>1116</v>
      </c>
      <c r="H170">
        <v>1078</v>
      </c>
      <c r="I170">
        <v>1078</v>
      </c>
    </row>
    <row r="172" spans="2:9">
      <c r="B172" t="s">
        <v>3336</v>
      </c>
    </row>
    <row r="174" spans="2:9">
      <c r="B174" t="s">
        <v>3337</v>
      </c>
    </row>
    <row r="175" spans="2:9">
      <c r="B175" t="s">
        <v>3316</v>
      </c>
      <c r="C175" t="s">
        <v>3338</v>
      </c>
      <c r="D175" t="s">
        <v>3339</v>
      </c>
      <c r="E175" t="s">
        <v>3340</v>
      </c>
      <c r="F175" t="s">
        <v>3341</v>
      </c>
    </row>
    <row r="176" spans="2:9">
      <c r="B176" t="s">
        <v>2670</v>
      </c>
      <c r="C176">
        <v>203</v>
      </c>
      <c r="D176">
        <v>228</v>
      </c>
      <c r="E176">
        <v>253</v>
      </c>
      <c r="F176">
        <v>296</v>
      </c>
    </row>
    <row r="177" spans="2:9">
      <c r="B177" t="s">
        <v>3326</v>
      </c>
      <c r="C177">
        <v>14.5</v>
      </c>
      <c r="D177">
        <v>15.5</v>
      </c>
      <c r="E177">
        <v>16.5</v>
      </c>
      <c r="F177">
        <v>19</v>
      </c>
    </row>
    <row r="178" spans="2:9">
      <c r="B178" t="s">
        <v>1322</v>
      </c>
      <c r="C178">
        <v>960</v>
      </c>
      <c r="D178">
        <v>948</v>
      </c>
      <c r="E178">
        <v>938</v>
      </c>
      <c r="F178">
        <v>934</v>
      </c>
    </row>
    <row r="180" spans="2:9">
      <c r="B180" t="s">
        <v>3342</v>
      </c>
    </row>
    <row r="181" spans="2:9">
      <c r="B181" t="s">
        <v>3316</v>
      </c>
      <c r="C181" t="s">
        <v>3343</v>
      </c>
      <c r="D181" t="s">
        <v>3344</v>
      </c>
      <c r="E181" t="s">
        <v>3338</v>
      </c>
      <c r="F181" t="s">
        <v>3339</v>
      </c>
      <c r="G181" t="s">
        <v>3340</v>
      </c>
      <c r="H181" t="s">
        <v>3341</v>
      </c>
    </row>
    <row r="182" spans="2:9">
      <c r="B182" t="s">
        <v>2670</v>
      </c>
      <c r="C182">
        <v>97</v>
      </c>
      <c r="D182">
        <v>154</v>
      </c>
      <c r="E182">
        <v>203</v>
      </c>
      <c r="F182">
        <v>228</v>
      </c>
      <c r="G182">
        <v>253</v>
      </c>
      <c r="H182">
        <v>296</v>
      </c>
    </row>
    <row r="183" spans="2:9">
      <c r="B183" t="s">
        <v>3326</v>
      </c>
      <c r="C183">
        <v>12.5</v>
      </c>
      <c r="D183">
        <v>11.5</v>
      </c>
      <c r="E183">
        <v>14.5</v>
      </c>
      <c r="F183">
        <v>15.5</v>
      </c>
      <c r="G183">
        <v>16.5</v>
      </c>
      <c r="H183">
        <v>19</v>
      </c>
    </row>
    <row r="184" spans="2:9">
      <c r="B184" t="s">
        <v>1322</v>
      </c>
      <c r="C184">
        <v>1093</v>
      </c>
      <c r="D184">
        <v>971</v>
      </c>
      <c r="E184">
        <v>960</v>
      </c>
      <c r="F184">
        <v>948</v>
      </c>
      <c r="G184">
        <v>938</v>
      </c>
      <c r="H184">
        <v>934</v>
      </c>
    </row>
    <row r="186" spans="2:9">
      <c r="B186" t="s">
        <v>3345</v>
      </c>
    </row>
    <row r="187" spans="2:9">
      <c r="B187" t="s">
        <v>3316</v>
      </c>
      <c r="C187" t="s">
        <v>3346</v>
      </c>
      <c r="D187" t="s">
        <v>3343</v>
      </c>
      <c r="E187" t="s">
        <v>3344</v>
      </c>
      <c r="F187" t="s">
        <v>3338</v>
      </c>
      <c r="G187" t="s">
        <v>3339</v>
      </c>
      <c r="H187" t="s">
        <v>3340</v>
      </c>
      <c r="I187" t="s">
        <v>3341</v>
      </c>
    </row>
    <row r="188" spans="2:9">
      <c r="B188" t="s">
        <v>2670</v>
      </c>
      <c r="C188">
        <v>75</v>
      </c>
      <c r="D188">
        <v>97</v>
      </c>
      <c r="E188">
        <v>154</v>
      </c>
      <c r="F188">
        <v>195</v>
      </c>
      <c r="G188">
        <v>219</v>
      </c>
      <c r="H188">
        <v>243</v>
      </c>
      <c r="I188">
        <v>296</v>
      </c>
    </row>
    <row r="189" spans="2:9">
      <c r="B189" t="s">
        <v>3326</v>
      </c>
      <c r="C189">
        <v>10.5</v>
      </c>
      <c r="D189">
        <v>12.5</v>
      </c>
      <c r="E189">
        <v>11.5</v>
      </c>
      <c r="F189">
        <v>18.5</v>
      </c>
      <c r="G189">
        <v>20</v>
      </c>
      <c r="H189">
        <v>21.5</v>
      </c>
      <c r="I189">
        <v>24.5</v>
      </c>
    </row>
    <row r="190" spans="2:9">
      <c r="B190" t="s">
        <v>1322</v>
      </c>
      <c r="C190">
        <v>1109</v>
      </c>
      <c r="D190">
        <v>1093</v>
      </c>
      <c r="E190">
        <v>971</v>
      </c>
      <c r="F190">
        <v>1027</v>
      </c>
      <c r="G190">
        <v>1019</v>
      </c>
      <c r="H190">
        <v>1011</v>
      </c>
      <c r="I190">
        <v>996</v>
      </c>
    </row>
    <row r="192" spans="2:9">
      <c r="B192" t="s">
        <v>3347</v>
      </c>
    </row>
    <row r="193" spans="2:10">
      <c r="B193" t="s">
        <v>3316</v>
      </c>
      <c r="C193" t="s">
        <v>3346</v>
      </c>
      <c r="D193" t="s">
        <v>3343</v>
      </c>
      <c r="E193" t="s">
        <v>3344</v>
      </c>
      <c r="F193" t="s">
        <v>3338</v>
      </c>
      <c r="G193" t="s">
        <v>3339</v>
      </c>
      <c r="H193" t="s">
        <v>3340</v>
      </c>
      <c r="I193" t="s">
        <v>3341</v>
      </c>
    </row>
    <row r="194" spans="2:10">
      <c r="B194" t="s">
        <v>2670</v>
      </c>
      <c r="C194">
        <v>75</v>
      </c>
      <c r="D194">
        <v>97</v>
      </c>
      <c r="E194">
        <v>147</v>
      </c>
      <c r="F194">
        <v>195</v>
      </c>
      <c r="G194">
        <v>219</v>
      </c>
      <c r="H194">
        <v>243</v>
      </c>
      <c r="I194">
        <v>296</v>
      </c>
    </row>
    <row r="195" spans="2:10">
      <c r="B195" t="s">
        <v>3326</v>
      </c>
      <c r="C195">
        <v>10.5</v>
      </c>
      <c r="D195">
        <v>12.5</v>
      </c>
      <c r="E195">
        <v>16.5</v>
      </c>
      <c r="F195">
        <v>24.5</v>
      </c>
      <c r="G195">
        <v>24.5</v>
      </c>
      <c r="H195">
        <v>26</v>
      </c>
      <c r="I195">
        <v>30</v>
      </c>
    </row>
    <row r="196" spans="2:10">
      <c r="B196" t="s">
        <v>1322</v>
      </c>
      <c r="C196">
        <v>1109</v>
      </c>
      <c r="D196">
        <v>1093</v>
      </c>
      <c r="E196">
        <v>1064</v>
      </c>
      <c r="F196">
        <v>1088</v>
      </c>
      <c r="G196">
        <v>1063</v>
      </c>
      <c r="H196">
        <v>1054</v>
      </c>
      <c r="I196">
        <v>1042</v>
      </c>
    </row>
    <row r="200" spans="2:10">
      <c r="B200" t="s">
        <v>3348</v>
      </c>
    </row>
    <row r="201" spans="2:10">
      <c r="B201" t="s">
        <v>3349</v>
      </c>
      <c r="C201" t="s">
        <v>3350</v>
      </c>
      <c r="E201" t="s">
        <v>3351</v>
      </c>
      <c r="G201" t="s">
        <v>3352</v>
      </c>
      <c r="I201" t="s">
        <v>3353</v>
      </c>
    </row>
    <row r="202" spans="2:10">
      <c r="B202" t="s">
        <v>3314</v>
      </c>
      <c r="C202" t="s">
        <v>3315</v>
      </c>
      <c r="E202" t="s">
        <v>3315</v>
      </c>
      <c r="G202" t="s">
        <v>3315</v>
      </c>
      <c r="I202" t="s">
        <v>3315</v>
      </c>
    </row>
    <row r="203" spans="2:10">
      <c r="B203" t="s">
        <v>2670</v>
      </c>
      <c r="C203" t="s">
        <v>3316</v>
      </c>
      <c r="D203" t="s">
        <v>1322</v>
      </c>
      <c r="E203" t="s">
        <v>3316</v>
      </c>
      <c r="F203" t="s">
        <v>1322</v>
      </c>
      <c r="G203" t="s">
        <v>3316</v>
      </c>
      <c r="H203" t="s">
        <v>1322</v>
      </c>
      <c r="I203" t="s">
        <v>3316</v>
      </c>
      <c r="J203" t="s">
        <v>1322</v>
      </c>
    </row>
    <row r="204" spans="2:10">
      <c r="B204">
        <v>10</v>
      </c>
      <c r="C204" t="s">
        <v>3318</v>
      </c>
      <c r="D204" t="s">
        <v>3318</v>
      </c>
      <c r="E204">
        <v>5</v>
      </c>
      <c r="F204">
        <v>1214</v>
      </c>
      <c r="G204" t="s">
        <v>3318</v>
      </c>
      <c r="H204" t="s">
        <v>3318</v>
      </c>
      <c r="I204" t="s">
        <v>3318</v>
      </c>
      <c r="J204" t="s">
        <v>3318</v>
      </c>
    </row>
    <row r="205" spans="2:10">
      <c r="B205">
        <v>12</v>
      </c>
      <c r="C205">
        <v>4.8</v>
      </c>
      <c r="D205">
        <v>1187</v>
      </c>
      <c r="E205">
        <v>5.6</v>
      </c>
      <c r="F205">
        <v>1206</v>
      </c>
      <c r="G205" t="s">
        <v>3318</v>
      </c>
      <c r="H205" t="s">
        <v>3318</v>
      </c>
      <c r="I205">
        <v>6.7</v>
      </c>
      <c r="J205">
        <v>1226</v>
      </c>
    </row>
    <row r="206" spans="2:10">
      <c r="B206">
        <v>20</v>
      </c>
      <c r="C206">
        <v>5.3</v>
      </c>
      <c r="D206">
        <v>1125</v>
      </c>
      <c r="E206">
        <v>6.4</v>
      </c>
      <c r="F206">
        <v>1155</v>
      </c>
      <c r="G206">
        <v>8.5</v>
      </c>
      <c r="H206">
        <v>1195</v>
      </c>
      <c r="I206" t="s">
        <v>3318</v>
      </c>
      <c r="J206" t="s">
        <v>3318</v>
      </c>
    </row>
    <row r="207" spans="2:10">
      <c r="B207">
        <v>25</v>
      </c>
      <c r="C207" t="s">
        <v>3318</v>
      </c>
      <c r="D207" t="s">
        <v>3318</v>
      </c>
      <c r="E207">
        <v>8</v>
      </c>
      <c r="F207">
        <v>1155</v>
      </c>
      <c r="G207">
        <v>10</v>
      </c>
      <c r="H207">
        <v>1187</v>
      </c>
      <c r="I207" t="s">
        <v>3318</v>
      </c>
      <c r="J207" t="s">
        <v>3318</v>
      </c>
    </row>
    <row r="209" spans="2:12">
      <c r="B209" t="s">
        <v>3354</v>
      </c>
    </row>
    <row r="210" spans="2:12">
      <c r="E210" t="s">
        <v>3351</v>
      </c>
      <c r="I210" t="s">
        <v>3353</v>
      </c>
    </row>
    <row r="211" spans="2:12">
      <c r="B211" t="s">
        <v>3314</v>
      </c>
      <c r="E211" t="s">
        <v>3315</v>
      </c>
      <c r="I211" t="s">
        <v>3315</v>
      </c>
    </row>
    <row r="212" spans="2:12">
      <c r="B212" t="s">
        <v>2670</v>
      </c>
      <c r="E212" t="s">
        <v>3316</v>
      </c>
      <c r="F212" t="s">
        <v>1322</v>
      </c>
      <c r="I212" t="s">
        <v>3316</v>
      </c>
      <c r="J212" t="s">
        <v>1322</v>
      </c>
    </row>
    <row r="213" spans="2:12">
      <c r="B213">
        <v>10</v>
      </c>
      <c r="E213" t="s">
        <v>3318</v>
      </c>
      <c r="F213" t="s">
        <v>3318</v>
      </c>
      <c r="I213">
        <v>5</v>
      </c>
      <c r="J213">
        <v>1214</v>
      </c>
    </row>
    <row r="214" spans="2:12">
      <c r="B214">
        <v>12</v>
      </c>
      <c r="E214">
        <v>4.8</v>
      </c>
      <c r="F214">
        <v>1187</v>
      </c>
      <c r="I214">
        <v>5.6</v>
      </c>
      <c r="J214">
        <v>1206</v>
      </c>
    </row>
    <row r="215" spans="2:12">
      <c r="B215">
        <v>20</v>
      </c>
      <c r="E215">
        <v>5.3</v>
      </c>
      <c r="F215">
        <v>1125</v>
      </c>
      <c r="I215">
        <v>8.5</v>
      </c>
      <c r="J215">
        <v>1195</v>
      </c>
    </row>
    <row r="216" spans="2:12">
      <c r="B216">
        <v>25</v>
      </c>
      <c r="E216">
        <v>8</v>
      </c>
      <c r="F216">
        <v>1155</v>
      </c>
      <c r="I216">
        <v>10</v>
      </c>
      <c r="J216">
        <v>1187</v>
      </c>
    </row>
    <row r="218" spans="2:12">
      <c r="B218" t="s">
        <v>3355</v>
      </c>
    </row>
    <row r="219" spans="2:12">
      <c r="C219" t="s">
        <v>3356</v>
      </c>
      <c r="E219" t="s">
        <v>3357</v>
      </c>
      <c r="G219" t="s">
        <v>3358</v>
      </c>
      <c r="I219" t="s">
        <v>3359</v>
      </c>
      <c r="K219" t="s">
        <v>3360</v>
      </c>
    </row>
    <row r="220" spans="2:12">
      <c r="B220" t="s">
        <v>3314</v>
      </c>
      <c r="C220" t="s">
        <v>3315</v>
      </c>
      <c r="E220" t="s">
        <v>3315</v>
      </c>
      <c r="G220" t="s">
        <v>3315</v>
      </c>
      <c r="I220" t="s">
        <v>3315</v>
      </c>
      <c r="K220" t="s">
        <v>3315</v>
      </c>
    </row>
    <row r="221" spans="2:12">
      <c r="B221" t="s">
        <v>2670</v>
      </c>
      <c r="C221" t="s">
        <v>3316</v>
      </c>
      <c r="D221" t="s">
        <v>1322</v>
      </c>
      <c r="E221" t="s">
        <v>3316</v>
      </c>
      <c r="F221" t="s">
        <v>1322</v>
      </c>
      <c r="G221" t="s">
        <v>3316</v>
      </c>
      <c r="H221" t="s">
        <v>1322</v>
      </c>
      <c r="I221" t="s">
        <v>3316</v>
      </c>
      <c r="J221" t="s">
        <v>1322</v>
      </c>
      <c r="K221" t="s">
        <v>3316</v>
      </c>
      <c r="L221" t="s">
        <v>1322</v>
      </c>
    </row>
    <row r="222" spans="2:12">
      <c r="B222">
        <v>25</v>
      </c>
      <c r="C222">
        <v>2.5</v>
      </c>
      <c r="D222">
        <v>1344</v>
      </c>
      <c r="E222">
        <v>2.5</v>
      </c>
      <c r="F222">
        <v>1344</v>
      </c>
      <c r="G222">
        <v>2.5</v>
      </c>
      <c r="H222">
        <v>1344</v>
      </c>
      <c r="I222">
        <v>2.5</v>
      </c>
      <c r="J222">
        <v>1344</v>
      </c>
      <c r="K222" t="s">
        <v>3318</v>
      </c>
      <c r="L222" t="s">
        <v>3318</v>
      </c>
    </row>
    <row r="223" spans="2:12">
      <c r="B223">
        <v>32</v>
      </c>
      <c r="C223">
        <v>2.5</v>
      </c>
      <c r="D223">
        <v>1324</v>
      </c>
      <c r="E223">
        <v>2.5</v>
      </c>
      <c r="F223">
        <v>1324</v>
      </c>
      <c r="G223">
        <v>2.5</v>
      </c>
      <c r="H223">
        <v>1324</v>
      </c>
      <c r="I223">
        <v>2.5</v>
      </c>
      <c r="J223">
        <v>1324</v>
      </c>
      <c r="K223" t="s">
        <v>3318</v>
      </c>
      <c r="L223" t="s">
        <v>3318</v>
      </c>
    </row>
    <row r="224" spans="2:12">
      <c r="B224">
        <v>40</v>
      </c>
      <c r="C224">
        <v>3.5</v>
      </c>
      <c r="D224">
        <v>1334</v>
      </c>
      <c r="E224">
        <v>3.5</v>
      </c>
      <c r="F224">
        <v>1334</v>
      </c>
      <c r="G224">
        <v>3.5</v>
      </c>
      <c r="H224">
        <v>1334</v>
      </c>
      <c r="I224">
        <v>3.5</v>
      </c>
      <c r="J224">
        <v>1334</v>
      </c>
      <c r="K224" t="s">
        <v>3318</v>
      </c>
      <c r="L224" t="s">
        <v>3318</v>
      </c>
    </row>
    <row r="225" spans="2:12">
      <c r="B225">
        <v>50</v>
      </c>
      <c r="C225">
        <v>3.5</v>
      </c>
      <c r="D225">
        <v>1314</v>
      </c>
      <c r="E225">
        <v>3.5</v>
      </c>
      <c r="F225">
        <v>1314</v>
      </c>
      <c r="G225">
        <v>3.5</v>
      </c>
      <c r="H225">
        <v>1314</v>
      </c>
      <c r="I225">
        <v>3.5</v>
      </c>
      <c r="J225">
        <v>1314</v>
      </c>
      <c r="K225" t="s">
        <v>3318</v>
      </c>
      <c r="L225" t="s">
        <v>3318</v>
      </c>
    </row>
    <row r="226" spans="2:12">
      <c r="B226">
        <v>65</v>
      </c>
      <c r="C226">
        <v>3.5</v>
      </c>
      <c r="D226">
        <v>1287</v>
      </c>
      <c r="E226">
        <v>3.5</v>
      </c>
      <c r="F226">
        <v>1287</v>
      </c>
      <c r="G226">
        <v>3.5</v>
      </c>
      <c r="H226">
        <v>1287</v>
      </c>
      <c r="I226">
        <v>3.5</v>
      </c>
      <c r="J226">
        <v>1287</v>
      </c>
      <c r="K226" t="s">
        <v>3318</v>
      </c>
      <c r="L226" t="s">
        <v>3318</v>
      </c>
    </row>
    <row r="227" spans="2:12">
      <c r="B227">
        <v>80</v>
      </c>
      <c r="C227">
        <v>3.5</v>
      </c>
      <c r="D227">
        <v>1262</v>
      </c>
      <c r="E227">
        <v>3.5</v>
      </c>
      <c r="F227">
        <v>1262</v>
      </c>
      <c r="G227">
        <v>3.5</v>
      </c>
      <c r="H227">
        <v>1262</v>
      </c>
      <c r="I227">
        <v>3.5</v>
      </c>
      <c r="J227">
        <v>1262</v>
      </c>
      <c r="K227" t="s">
        <v>3318</v>
      </c>
      <c r="L227" t="s">
        <v>3318</v>
      </c>
    </row>
    <row r="228" spans="2:12">
      <c r="B228">
        <v>100</v>
      </c>
      <c r="C228">
        <v>3.5</v>
      </c>
      <c r="D228">
        <v>1230</v>
      </c>
      <c r="E228">
        <v>3.5</v>
      </c>
      <c r="F228">
        <v>1230</v>
      </c>
      <c r="G228">
        <v>3.5</v>
      </c>
      <c r="H228">
        <v>1230</v>
      </c>
      <c r="I228">
        <v>3.5</v>
      </c>
      <c r="J228">
        <v>1230</v>
      </c>
      <c r="K228" t="s">
        <v>3318</v>
      </c>
      <c r="L228" t="s">
        <v>3318</v>
      </c>
    </row>
    <row r="229" spans="2:12">
      <c r="B229">
        <v>125</v>
      </c>
      <c r="C229">
        <v>4.9000000000000004</v>
      </c>
      <c r="D229">
        <v>1246</v>
      </c>
      <c r="E229">
        <v>4.9000000000000004</v>
      </c>
      <c r="F229">
        <v>1246</v>
      </c>
      <c r="G229">
        <v>4.9000000000000004</v>
      </c>
      <c r="H229">
        <v>1246</v>
      </c>
      <c r="I229">
        <v>4.9000000000000004</v>
      </c>
      <c r="J229">
        <v>1246</v>
      </c>
      <c r="K229" t="s">
        <v>3318</v>
      </c>
      <c r="L229" t="s">
        <v>3318</v>
      </c>
    </row>
    <row r="230" spans="2:12">
      <c r="B230">
        <v>150</v>
      </c>
      <c r="C230">
        <v>4.9000000000000004</v>
      </c>
      <c r="D230">
        <v>1219</v>
      </c>
      <c r="E230">
        <v>4.9000000000000004</v>
      </c>
      <c r="F230">
        <v>1219</v>
      </c>
      <c r="G230">
        <v>4.9000000000000004</v>
      </c>
      <c r="H230">
        <v>1219</v>
      </c>
      <c r="I230">
        <v>6</v>
      </c>
      <c r="J230">
        <v>1249</v>
      </c>
      <c r="K230" t="s">
        <v>3318</v>
      </c>
      <c r="L230" t="s">
        <v>3318</v>
      </c>
    </row>
    <row r="231" spans="2:12">
      <c r="B231">
        <v>200</v>
      </c>
      <c r="C231">
        <v>5</v>
      </c>
      <c r="D231">
        <v>1172</v>
      </c>
      <c r="E231">
        <v>6</v>
      </c>
      <c r="F231">
        <v>1205</v>
      </c>
      <c r="G231">
        <v>6</v>
      </c>
      <c r="H231">
        <v>1205</v>
      </c>
      <c r="I231">
        <v>6</v>
      </c>
      <c r="J231">
        <v>1205</v>
      </c>
      <c r="K231">
        <v>7</v>
      </c>
      <c r="L231">
        <v>1230</v>
      </c>
    </row>
    <row r="232" spans="2:12">
      <c r="B232">
        <v>250</v>
      </c>
      <c r="C232">
        <v>6</v>
      </c>
      <c r="D232">
        <v>1165</v>
      </c>
      <c r="E232">
        <v>7</v>
      </c>
      <c r="F232">
        <v>1193</v>
      </c>
      <c r="G232">
        <v>7</v>
      </c>
      <c r="H232">
        <v>1193</v>
      </c>
      <c r="I232">
        <v>7</v>
      </c>
      <c r="J232">
        <v>1193</v>
      </c>
      <c r="K232">
        <v>8</v>
      </c>
      <c r="L232">
        <v>1215</v>
      </c>
    </row>
    <row r="233" spans="2:12">
      <c r="B233">
        <v>300</v>
      </c>
      <c r="C233">
        <v>8</v>
      </c>
      <c r="D233">
        <v>1184</v>
      </c>
      <c r="E233">
        <v>7</v>
      </c>
      <c r="F233">
        <v>1159</v>
      </c>
      <c r="G233">
        <v>8</v>
      </c>
      <c r="H233">
        <v>1184</v>
      </c>
      <c r="I233">
        <v>8</v>
      </c>
      <c r="J233">
        <v>1184</v>
      </c>
      <c r="K233">
        <v>10</v>
      </c>
      <c r="L233">
        <v>1222</v>
      </c>
    </row>
    <row r="234" spans="2:12">
      <c r="B234">
        <v>350</v>
      </c>
      <c r="C234">
        <v>9</v>
      </c>
      <c r="D234">
        <v>1178</v>
      </c>
      <c r="E234">
        <v>9</v>
      </c>
      <c r="F234">
        <v>1178</v>
      </c>
      <c r="G234">
        <v>9</v>
      </c>
      <c r="H234">
        <v>1178</v>
      </c>
      <c r="I234">
        <v>10</v>
      </c>
      <c r="J234">
        <v>1196</v>
      </c>
      <c r="K234">
        <v>11</v>
      </c>
      <c r="L234">
        <v>1213</v>
      </c>
    </row>
    <row r="235" spans="2:12">
      <c r="B235">
        <v>400</v>
      </c>
      <c r="C235">
        <v>10</v>
      </c>
      <c r="D235">
        <v>1172</v>
      </c>
      <c r="E235">
        <v>10</v>
      </c>
      <c r="F235">
        <v>1172</v>
      </c>
      <c r="G235">
        <v>10</v>
      </c>
      <c r="H235">
        <v>1172</v>
      </c>
      <c r="I235">
        <v>11</v>
      </c>
      <c r="J235">
        <v>1190</v>
      </c>
      <c r="K235">
        <v>13</v>
      </c>
      <c r="L235">
        <v>1218</v>
      </c>
    </row>
    <row r="236" spans="2:12">
      <c r="B236">
        <v>450</v>
      </c>
      <c r="C236">
        <v>11</v>
      </c>
      <c r="D236">
        <v>1168</v>
      </c>
      <c r="E236">
        <v>11</v>
      </c>
      <c r="F236">
        <v>1168</v>
      </c>
      <c r="G236">
        <v>11</v>
      </c>
      <c r="H236">
        <v>1168</v>
      </c>
      <c r="I236">
        <v>12</v>
      </c>
      <c r="J236">
        <v>1184</v>
      </c>
      <c r="K236">
        <v>14</v>
      </c>
      <c r="L236">
        <v>1211</v>
      </c>
    </row>
    <row r="237" spans="2:12">
      <c r="B237">
        <v>500</v>
      </c>
      <c r="C237">
        <v>12</v>
      </c>
      <c r="D237">
        <v>1165</v>
      </c>
      <c r="E237">
        <v>12</v>
      </c>
      <c r="F237">
        <v>1165</v>
      </c>
      <c r="G237">
        <v>12</v>
      </c>
      <c r="H237">
        <v>1165</v>
      </c>
      <c r="I237">
        <v>13</v>
      </c>
      <c r="J237">
        <v>1180</v>
      </c>
      <c r="K237">
        <v>15</v>
      </c>
      <c r="L237">
        <v>1205</v>
      </c>
    </row>
    <row r="238" spans="2:12">
      <c r="B238">
        <v>600</v>
      </c>
      <c r="C238">
        <v>14</v>
      </c>
      <c r="D238">
        <v>1159</v>
      </c>
      <c r="E238">
        <v>14</v>
      </c>
      <c r="F238">
        <v>1159</v>
      </c>
      <c r="G238">
        <v>14</v>
      </c>
      <c r="H238">
        <v>1159</v>
      </c>
      <c r="I238">
        <v>15</v>
      </c>
      <c r="J238">
        <v>1172</v>
      </c>
      <c r="K238">
        <v>18</v>
      </c>
      <c r="L238">
        <v>1205</v>
      </c>
    </row>
    <row r="239" spans="2:12">
      <c r="B239">
        <v>700</v>
      </c>
      <c r="C239">
        <v>16</v>
      </c>
      <c r="D239">
        <v>1155</v>
      </c>
      <c r="E239">
        <v>16</v>
      </c>
      <c r="F239">
        <v>1155</v>
      </c>
      <c r="G239">
        <v>15</v>
      </c>
      <c r="H239">
        <v>1143</v>
      </c>
      <c r="I239">
        <v>18</v>
      </c>
      <c r="J239">
        <v>1178</v>
      </c>
      <c r="K239">
        <v>21</v>
      </c>
      <c r="L239">
        <v>1205</v>
      </c>
    </row>
    <row r="240" spans="2:12">
      <c r="B240">
        <v>800</v>
      </c>
      <c r="C240">
        <v>18</v>
      </c>
      <c r="D240">
        <v>1152</v>
      </c>
      <c r="E240">
        <v>18</v>
      </c>
      <c r="F240">
        <v>1152</v>
      </c>
      <c r="G240">
        <v>17</v>
      </c>
      <c r="H240">
        <v>1141</v>
      </c>
      <c r="I240">
        <v>20</v>
      </c>
      <c r="J240">
        <v>1150</v>
      </c>
      <c r="K240">
        <v>24</v>
      </c>
      <c r="L240">
        <v>1205</v>
      </c>
    </row>
    <row r="241" spans="2:12">
      <c r="B241">
        <v>900</v>
      </c>
      <c r="C241">
        <v>21</v>
      </c>
      <c r="D241">
        <v>1159</v>
      </c>
      <c r="E241">
        <v>20</v>
      </c>
      <c r="F241">
        <v>1150</v>
      </c>
      <c r="G241">
        <v>20</v>
      </c>
      <c r="H241">
        <v>1150</v>
      </c>
      <c r="I241">
        <v>22</v>
      </c>
      <c r="J241">
        <v>1168</v>
      </c>
      <c r="K241">
        <v>26</v>
      </c>
      <c r="L241">
        <v>1198</v>
      </c>
    </row>
    <row r="242" spans="2:12">
      <c r="B242">
        <v>1000</v>
      </c>
      <c r="C242">
        <v>23</v>
      </c>
      <c r="D242">
        <v>1157</v>
      </c>
      <c r="E242">
        <v>22</v>
      </c>
      <c r="F242">
        <v>1148</v>
      </c>
      <c r="G242">
        <v>22</v>
      </c>
      <c r="H242">
        <v>1148</v>
      </c>
      <c r="I242">
        <v>24</v>
      </c>
      <c r="J242">
        <v>1165</v>
      </c>
      <c r="K242">
        <v>29</v>
      </c>
      <c r="L242">
        <v>1199</v>
      </c>
    </row>
    <row r="243" spans="2:12">
      <c r="B243">
        <v>1100</v>
      </c>
      <c r="C243">
        <v>25</v>
      </c>
      <c r="D243">
        <v>1154</v>
      </c>
      <c r="E243">
        <v>24</v>
      </c>
      <c r="F243">
        <v>1146</v>
      </c>
      <c r="G243">
        <v>24</v>
      </c>
      <c r="H243">
        <v>1146</v>
      </c>
      <c r="I243" t="s">
        <v>3318</v>
      </c>
      <c r="J243" t="s">
        <v>3318</v>
      </c>
      <c r="K243" t="s">
        <v>3318</v>
      </c>
      <c r="L243" t="s">
        <v>3318</v>
      </c>
    </row>
    <row r="244" spans="2:12">
      <c r="B244">
        <v>1200</v>
      </c>
      <c r="C244">
        <v>27</v>
      </c>
      <c r="D244">
        <v>1152</v>
      </c>
      <c r="E244">
        <v>26</v>
      </c>
      <c r="F244">
        <v>1145</v>
      </c>
      <c r="G244">
        <v>26</v>
      </c>
      <c r="H244">
        <v>1145</v>
      </c>
      <c r="I244" t="s">
        <v>3318</v>
      </c>
      <c r="J244" t="s">
        <v>3318</v>
      </c>
      <c r="K244" t="s">
        <v>3318</v>
      </c>
      <c r="L244" t="s">
        <v>3318</v>
      </c>
    </row>
    <row r="245" spans="2:12">
      <c r="B245">
        <v>1300</v>
      </c>
      <c r="C245">
        <v>30</v>
      </c>
      <c r="D245">
        <v>1157</v>
      </c>
      <c r="E245">
        <v>29</v>
      </c>
      <c r="F245">
        <v>1151</v>
      </c>
      <c r="G245">
        <v>28</v>
      </c>
      <c r="H245">
        <v>1144</v>
      </c>
      <c r="I245" t="s">
        <v>3318</v>
      </c>
      <c r="J245" t="s">
        <v>3318</v>
      </c>
      <c r="K245" t="s">
        <v>3318</v>
      </c>
      <c r="L245" t="s">
        <v>3318</v>
      </c>
    </row>
    <row r="246" spans="2:12">
      <c r="B246">
        <v>1400</v>
      </c>
      <c r="C246">
        <v>32</v>
      </c>
      <c r="D246">
        <v>1155</v>
      </c>
      <c r="E246">
        <v>30</v>
      </c>
      <c r="F246">
        <v>1143</v>
      </c>
      <c r="G246">
        <v>30</v>
      </c>
      <c r="H246">
        <v>1143</v>
      </c>
      <c r="I246" t="s">
        <v>3318</v>
      </c>
      <c r="J246" t="s">
        <v>3318</v>
      </c>
      <c r="K246" t="s">
        <v>3318</v>
      </c>
      <c r="L246" t="s">
        <v>3318</v>
      </c>
    </row>
    <row r="247" spans="2:12">
      <c r="B247">
        <v>1500</v>
      </c>
      <c r="C247">
        <v>34</v>
      </c>
      <c r="D247">
        <v>1154</v>
      </c>
      <c r="E247">
        <v>32</v>
      </c>
      <c r="F247">
        <v>1142</v>
      </c>
      <c r="G247">
        <v>32</v>
      </c>
      <c r="H247">
        <v>1142</v>
      </c>
      <c r="I247" t="s">
        <v>3318</v>
      </c>
      <c r="J247" t="s">
        <v>3318</v>
      </c>
      <c r="K247" t="s">
        <v>3318</v>
      </c>
      <c r="L247" t="s">
        <v>3318</v>
      </c>
    </row>
    <row r="248" spans="2:12">
      <c r="B248">
        <v>1600</v>
      </c>
      <c r="C248">
        <v>36</v>
      </c>
      <c r="D248">
        <v>1152</v>
      </c>
      <c r="E248">
        <v>34</v>
      </c>
      <c r="F248">
        <v>1141</v>
      </c>
      <c r="G248">
        <v>34</v>
      </c>
      <c r="H248">
        <v>1141</v>
      </c>
      <c r="I248" t="s">
        <v>3318</v>
      </c>
      <c r="J248" t="s">
        <v>3318</v>
      </c>
      <c r="K248" t="s">
        <v>3318</v>
      </c>
      <c r="L248" t="s">
        <v>3318</v>
      </c>
    </row>
    <row r="249" spans="2:12">
      <c r="B249">
        <v>1700</v>
      </c>
      <c r="C249">
        <v>38</v>
      </c>
      <c r="D249">
        <v>1151</v>
      </c>
      <c r="E249">
        <v>36</v>
      </c>
      <c r="F249">
        <v>1140</v>
      </c>
      <c r="G249">
        <v>36</v>
      </c>
      <c r="H249">
        <v>1140</v>
      </c>
      <c r="I249" t="s">
        <v>3318</v>
      </c>
      <c r="J249" t="s">
        <v>3318</v>
      </c>
      <c r="K249" t="s">
        <v>3318</v>
      </c>
      <c r="L249" t="s">
        <v>3318</v>
      </c>
    </row>
    <row r="250" spans="2:12">
      <c r="B250">
        <v>1800</v>
      </c>
      <c r="C250">
        <v>40</v>
      </c>
      <c r="D250">
        <v>1150</v>
      </c>
      <c r="E250">
        <v>38</v>
      </c>
      <c r="F250">
        <v>1140</v>
      </c>
      <c r="G250">
        <v>38</v>
      </c>
      <c r="H250">
        <v>1140</v>
      </c>
      <c r="I250" t="s">
        <v>3318</v>
      </c>
      <c r="J250" t="s">
        <v>3318</v>
      </c>
      <c r="K250" t="s">
        <v>3318</v>
      </c>
      <c r="L250" t="s">
        <v>3318</v>
      </c>
    </row>
    <row r="251" spans="2:12">
      <c r="B251">
        <v>1900</v>
      </c>
      <c r="C251">
        <v>42</v>
      </c>
      <c r="D251">
        <v>1149</v>
      </c>
      <c r="E251">
        <v>40</v>
      </c>
      <c r="F251">
        <v>1139</v>
      </c>
      <c r="G251">
        <v>40</v>
      </c>
      <c r="H251">
        <v>1139</v>
      </c>
      <c r="I251" t="s">
        <v>3318</v>
      </c>
      <c r="J251" t="s">
        <v>3318</v>
      </c>
      <c r="K251" t="s">
        <v>3318</v>
      </c>
      <c r="L251" t="s">
        <v>3318</v>
      </c>
    </row>
    <row r="252" spans="2:12">
      <c r="B252">
        <v>2000</v>
      </c>
      <c r="C252">
        <v>44</v>
      </c>
      <c r="D252">
        <v>1148</v>
      </c>
      <c r="E252">
        <v>43</v>
      </c>
      <c r="F252">
        <v>1143</v>
      </c>
      <c r="G252">
        <v>42</v>
      </c>
      <c r="H252">
        <v>1138</v>
      </c>
      <c r="I252" t="s">
        <v>3318</v>
      </c>
      <c r="J252" t="s">
        <v>3318</v>
      </c>
      <c r="K252" t="s">
        <v>3318</v>
      </c>
      <c r="L252" t="s">
        <v>3318</v>
      </c>
    </row>
    <row r="253" spans="2:12">
      <c r="B253">
        <v>2100</v>
      </c>
      <c r="C253">
        <v>46</v>
      </c>
      <c r="D253">
        <v>1147</v>
      </c>
      <c r="E253">
        <v>44</v>
      </c>
      <c r="F253">
        <v>1138</v>
      </c>
      <c r="G253">
        <v>43</v>
      </c>
      <c r="H253">
        <v>1133</v>
      </c>
      <c r="I253" t="s">
        <v>3318</v>
      </c>
      <c r="J253" t="s">
        <v>3318</v>
      </c>
      <c r="K253" t="s">
        <v>3318</v>
      </c>
      <c r="L253" t="s">
        <v>3318</v>
      </c>
    </row>
    <row r="254" spans="2:12">
      <c r="B254">
        <v>2200</v>
      </c>
      <c r="C254">
        <v>49</v>
      </c>
      <c r="D254">
        <v>1150</v>
      </c>
      <c r="E254">
        <v>47</v>
      </c>
      <c r="F254">
        <v>1142</v>
      </c>
      <c r="G254">
        <v>46</v>
      </c>
      <c r="H254">
        <v>1138</v>
      </c>
      <c r="I254" t="s">
        <v>3318</v>
      </c>
      <c r="J254" t="s">
        <v>3318</v>
      </c>
      <c r="K254" t="s">
        <v>3318</v>
      </c>
      <c r="L254" t="s">
        <v>3318</v>
      </c>
    </row>
    <row r="255" spans="2:12">
      <c r="B255">
        <v>2400</v>
      </c>
      <c r="C255">
        <v>53</v>
      </c>
      <c r="D255">
        <v>1149</v>
      </c>
      <c r="E255">
        <v>51</v>
      </c>
      <c r="F255">
        <v>1141</v>
      </c>
      <c r="G255">
        <v>50</v>
      </c>
      <c r="H255">
        <v>1137</v>
      </c>
      <c r="I255" t="s">
        <v>3318</v>
      </c>
      <c r="J255" t="s">
        <v>3318</v>
      </c>
      <c r="K255" t="s">
        <v>3318</v>
      </c>
      <c r="L255" t="s">
        <v>3318</v>
      </c>
    </row>
    <row r="256" spans="2:12">
      <c r="B256">
        <v>2500</v>
      </c>
      <c r="C256">
        <v>55</v>
      </c>
      <c r="D256">
        <v>1148</v>
      </c>
      <c r="E256">
        <v>53</v>
      </c>
      <c r="F256">
        <v>1140</v>
      </c>
      <c r="G256">
        <v>52</v>
      </c>
      <c r="H256">
        <v>1137</v>
      </c>
      <c r="I256" t="s">
        <v>3318</v>
      </c>
      <c r="J256" t="s">
        <v>3318</v>
      </c>
      <c r="K256" t="s">
        <v>3318</v>
      </c>
      <c r="L256" t="s">
        <v>3318</v>
      </c>
    </row>
    <row r="259" spans="2:10">
      <c r="B259" t="s">
        <v>3361</v>
      </c>
    </row>
    <row r="260" spans="2:10">
      <c r="C260" t="s">
        <v>3362</v>
      </c>
    </row>
    <row r="261" spans="2:10">
      <c r="C261" t="s">
        <v>3363</v>
      </c>
      <c r="E261" t="s">
        <v>3364</v>
      </c>
      <c r="H261" t="s">
        <v>3365</v>
      </c>
    </row>
    <row r="262" spans="2:10">
      <c r="C262" t="s">
        <v>3366</v>
      </c>
      <c r="D262" t="s">
        <v>3367</v>
      </c>
      <c r="E262" t="s">
        <v>3366</v>
      </c>
      <c r="F262" t="s">
        <v>3367</v>
      </c>
      <c r="G262" t="s">
        <v>3366</v>
      </c>
      <c r="I262" t="s">
        <v>3367</v>
      </c>
    </row>
    <row r="263" spans="2:10">
      <c r="B263" t="s">
        <v>3368</v>
      </c>
      <c r="G263" t="s">
        <v>3369</v>
      </c>
      <c r="I263" t="s">
        <v>3369</v>
      </c>
    </row>
    <row r="264" spans="2:10">
      <c r="B264">
        <v>16</v>
      </c>
      <c r="D264">
        <v>357</v>
      </c>
      <c r="F264">
        <v>391</v>
      </c>
    </row>
    <row r="265" spans="2:10">
      <c r="B265">
        <v>20</v>
      </c>
      <c r="D265">
        <v>315</v>
      </c>
      <c r="F265">
        <v>346</v>
      </c>
    </row>
    <row r="266" spans="2:10">
      <c r="B266">
        <v>25</v>
      </c>
      <c r="D266">
        <v>280</v>
      </c>
      <c r="F266">
        <v>307</v>
      </c>
    </row>
    <row r="267" spans="2:10">
      <c r="B267">
        <v>32</v>
      </c>
      <c r="C267">
        <v>264</v>
      </c>
      <c r="D267">
        <v>283</v>
      </c>
      <c r="E267">
        <v>290</v>
      </c>
      <c r="F267">
        <v>310</v>
      </c>
    </row>
    <row r="268" spans="2:10">
      <c r="B268">
        <v>50</v>
      </c>
      <c r="C268">
        <v>227</v>
      </c>
      <c r="D268">
        <v>280</v>
      </c>
      <c r="E268">
        <v>249</v>
      </c>
      <c r="F268">
        <v>307</v>
      </c>
    </row>
    <row r="269" spans="2:10">
      <c r="B269">
        <v>63</v>
      </c>
      <c r="C269">
        <v>226</v>
      </c>
      <c r="D269">
        <v>278</v>
      </c>
      <c r="E269">
        <v>249</v>
      </c>
      <c r="F269">
        <v>305</v>
      </c>
    </row>
    <row r="270" spans="2:10">
      <c r="B270">
        <v>90</v>
      </c>
      <c r="C270">
        <v>221</v>
      </c>
      <c r="D270">
        <v>260</v>
      </c>
      <c r="E270">
        <v>243</v>
      </c>
      <c r="F270">
        <v>286</v>
      </c>
      <c r="G270">
        <v>236</v>
      </c>
      <c r="H270">
        <v>274</v>
      </c>
      <c r="I270">
        <v>302</v>
      </c>
      <c r="J270">
        <v>350</v>
      </c>
    </row>
    <row r="271" spans="2:10">
      <c r="B271">
        <v>110</v>
      </c>
      <c r="C271">
        <v>204</v>
      </c>
      <c r="D271">
        <v>260</v>
      </c>
      <c r="E271">
        <v>224</v>
      </c>
      <c r="F271">
        <v>286</v>
      </c>
      <c r="G271">
        <v>237</v>
      </c>
      <c r="H271">
        <v>276</v>
      </c>
      <c r="I271">
        <v>301</v>
      </c>
      <c r="J271">
        <v>350</v>
      </c>
    </row>
    <row r="272" spans="2:10">
      <c r="B272">
        <v>125</v>
      </c>
      <c r="C272">
        <v>203</v>
      </c>
      <c r="D272">
        <v>261</v>
      </c>
      <c r="E272">
        <v>223</v>
      </c>
      <c r="F272">
        <v>286</v>
      </c>
      <c r="G272">
        <v>236</v>
      </c>
      <c r="H272">
        <v>275</v>
      </c>
      <c r="I272">
        <v>302</v>
      </c>
      <c r="J272">
        <v>350</v>
      </c>
    </row>
    <row r="273" spans="2:10">
      <c r="B273">
        <v>160</v>
      </c>
      <c r="C273">
        <v>203</v>
      </c>
      <c r="D273">
        <v>261</v>
      </c>
      <c r="E273">
        <v>224</v>
      </c>
      <c r="F273">
        <v>286</v>
      </c>
      <c r="G273">
        <v>236</v>
      </c>
      <c r="H273">
        <v>275</v>
      </c>
      <c r="I273">
        <v>302</v>
      </c>
      <c r="J273">
        <v>350</v>
      </c>
    </row>
    <row r="274" spans="2:10">
      <c r="B274">
        <v>180</v>
      </c>
      <c r="C274">
        <v>203</v>
      </c>
      <c r="D274">
        <v>260</v>
      </c>
      <c r="E274">
        <v>223</v>
      </c>
      <c r="F274">
        <v>286</v>
      </c>
      <c r="G274">
        <v>236</v>
      </c>
      <c r="H274">
        <v>274</v>
      </c>
      <c r="I274">
        <v>302</v>
      </c>
      <c r="J274">
        <v>350</v>
      </c>
    </row>
    <row r="275" spans="2:10">
      <c r="B275">
        <v>200</v>
      </c>
      <c r="C275">
        <v>204</v>
      </c>
      <c r="D275">
        <v>260</v>
      </c>
      <c r="E275">
        <v>224</v>
      </c>
      <c r="F275">
        <v>286</v>
      </c>
      <c r="G275">
        <v>236</v>
      </c>
      <c r="H275">
        <v>275</v>
      </c>
      <c r="I275">
        <v>301</v>
      </c>
      <c r="J275">
        <v>350</v>
      </c>
    </row>
    <row r="276" spans="2:10">
      <c r="B276">
        <v>225</v>
      </c>
      <c r="C276">
        <v>203</v>
      </c>
      <c r="D276">
        <v>260</v>
      </c>
      <c r="E276">
        <v>224</v>
      </c>
      <c r="F276">
        <v>286</v>
      </c>
      <c r="G276">
        <v>236</v>
      </c>
      <c r="H276">
        <v>275</v>
      </c>
      <c r="I276">
        <v>302</v>
      </c>
      <c r="J276">
        <v>350</v>
      </c>
    </row>
    <row r="277" spans="2:10">
      <c r="B277">
        <v>250</v>
      </c>
      <c r="C277">
        <v>203</v>
      </c>
      <c r="D277">
        <v>260</v>
      </c>
      <c r="E277">
        <v>223</v>
      </c>
      <c r="F277">
        <v>285</v>
      </c>
      <c r="G277">
        <v>236</v>
      </c>
      <c r="H277">
        <v>275</v>
      </c>
      <c r="I277">
        <v>302</v>
      </c>
      <c r="J277">
        <v>350</v>
      </c>
    </row>
    <row r="278" spans="2:10">
      <c r="B278">
        <v>280</v>
      </c>
      <c r="C278">
        <v>203</v>
      </c>
      <c r="D278">
        <v>260</v>
      </c>
      <c r="E278">
        <v>223</v>
      </c>
      <c r="F278">
        <v>285</v>
      </c>
      <c r="G278">
        <v>236</v>
      </c>
      <c r="H278">
        <v>275</v>
      </c>
      <c r="I278">
        <v>301</v>
      </c>
      <c r="J278">
        <v>349</v>
      </c>
    </row>
    <row r="279" spans="2:10">
      <c r="B279">
        <v>315</v>
      </c>
      <c r="C279">
        <v>203</v>
      </c>
      <c r="D279">
        <v>260</v>
      </c>
      <c r="E279">
        <v>224</v>
      </c>
      <c r="F279">
        <v>285</v>
      </c>
      <c r="G279">
        <v>236</v>
      </c>
      <c r="H279">
        <v>275</v>
      </c>
      <c r="I279">
        <v>302</v>
      </c>
      <c r="J279">
        <v>350</v>
      </c>
    </row>
    <row r="280" spans="2:10">
      <c r="B280">
        <v>355</v>
      </c>
      <c r="C280">
        <v>203</v>
      </c>
      <c r="D280">
        <v>260</v>
      </c>
      <c r="E280">
        <v>223</v>
      </c>
      <c r="F280">
        <v>286</v>
      </c>
      <c r="G280">
        <v>236</v>
      </c>
      <c r="H280">
        <v>274</v>
      </c>
      <c r="I280">
        <v>301</v>
      </c>
      <c r="J280">
        <v>350</v>
      </c>
    </row>
    <row r="281" spans="2:10">
      <c r="B281">
        <v>400</v>
      </c>
      <c r="C281">
        <v>203</v>
      </c>
      <c r="D281">
        <v>260</v>
      </c>
      <c r="E281">
        <v>223</v>
      </c>
      <c r="F281">
        <v>286</v>
      </c>
      <c r="G281">
        <v>236</v>
      </c>
      <c r="H281">
        <v>274</v>
      </c>
      <c r="I281">
        <v>301</v>
      </c>
      <c r="J281">
        <v>350</v>
      </c>
    </row>
    <row r="284" spans="2:10">
      <c r="B284" t="s">
        <v>3370</v>
      </c>
    </row>
    <row r="285" spans="2:10">
      <c r="B285" t="s">
        <v>3314</v>
      </c>
      <c r="C285" t="s">
        <v>3315</v>
      </c>
    </row>
    <row r="286" spans="2:10">
      <c r="B286" t="s">
        <v>2670</v>
      </c>
      <c r="C286" t="s">
        <v>3316</v>
      </c>
      <c r="D286" t="s">
        <v>1322</v>
      </c>
    </row>
    <row r="287" spans="2:10">
      <c r="B287">
        <v>100</v>
      </c>
      <c r="C287">
        <v>15</v>
      </c>
      <c r="D287">
        <v>1291</v>
      </c>
    </row>
    <row r="288" spans="2:10">
      <c r="B288">
        <v>150</v>
      </c>
      <c r="C288">
        <v>8</v>
      </c>
      <c r="D288">
        <v>1266</v>
      </c>
    </row>
    <row r="289" spans="2:4">
      <c r="B289">
        <v>200</v>
      </c>
      <c r="C289">
        <v>21</v>
      </c>
      <c r="D289">
        <v>1249</v>
      </c>
    </row>
    <row r="290" spans="2:4">
      <c r="B290">
        <v>225</v>
      </c>
      <c r="C290">
        <v>24</v>
      </c>
      <c r="D290">
        <v>1251</v>
      </c>
    </row>
    <row r="291" spans="2:4">
      <c r="B291">
        <v>250</v>
      </c>
      <c r="C291">
        <v>28</v>
      </c>
      <c r="D291">
        <v>1258</v>
      </c>
    </row>
    <row r="292" spans="2:4">
      <c r="B292">
        <v>300</v>
      </c>
      <c r="C292">
        <v>32</v>
      </c>
      <c r="D292">
        <v>1251</v>
      </c>
    </row>
    <row r="293" spans="2:4">
      <c r="B293">
        <v>375</v>
      </c>
      <c r="C293">
        <v>38</v>
      </c>
      <c r="D293">
        <v>1244</v>
      </c>
    </row>
    <row r="294" spans="2:4">
      <c r="B294">
        <v>400</v>
      </c>
      <c r="C294">
        <v>40</v>
      </c>
      <c r="D294">
        <v>1243</v>
      </c>
    </row>
    <row r="295" spans="2:4">
      <c r="B295">
        <v>450</v>
      </c>
      <c r="C295">
        <v>47</v>
      </c>
      <c r="D295">
        <v>1249</v>
      </c>
    </row>
    <row r="298" spans="2:4">
      <c r="B298" t="s">
        <v>3371</v>
      </c>
    </row>
    <row r="299" spans="2:4">
      <c r="B299" t="s">
        <v>3314</v>
      </c>
      <c r="C299" t="s">
        <v>3315</v>
      </c>
    </row>
    <row r="300" spans="2:4">
      <c r="B300" t="s">
        <v>2670</v>
      </c>
      <c r="C300" t="s">
        <v>3316</v>
      </c>
      <c r="D300" t="s">
        <v>1322</v>
      </c>
    </row>
    <row r="301" spans="2:4">
      <c r="B301">
        <v>400</v>
      </c>
      <c r="C301">
        <v>60</v>
      </c>
      <c r="D301">
        <v>1164</v>
      </c>
    </row>
    <row r="302" spans="2:4">
      <c r="B302">
        <v>500</v>
      </c>
      <c r="C302">
        <v>70</v>
      </c>
      <c r="D302">
        <v>1152</v>
      </c>
    </row>
    <row r="303" spans="2:4">
      <c r="B303">
        <v>600</v>
      </c>
      <c r="C303">
        <v>54</v>
      </c>
      <c r="D303">
        <v>1065</v>
      </c>
    </row>
    <row r="304" spans="2:4">
      <c r="B304">
        <v>700</v>
      </c>
      <c r="C304">
        <v>60</v>
      </c>
      <c r="D304">
        <v>1055</v>
      </c>
    </row>
    <row r="305" spans="2:10">
      <c r="B305">
        <v>800</v>
      </c>
      <c r="C305">
        <v>60</v>
      </c>
      <c r="D305">
        <v>1024</v>
      </c>
    </row>
    <row r="306" spans="2:10">
      <c r="B306">
        <v>900</v>
      </c>
      <c r="C306">
        <v>67</v>
      </c>
      <c r="D306">
        <v>1023</v>
      </c>
    </row>
    <row r="307" spans="2:10">
      <c r="B307">
        <v>1000</v>
      </c>
      <c r="C307">
        <v>80</v>
      </c>
      <c r="D307">
        <v>1039</v>
      </c>
    </row>
    <row r="308" spans="2:10">
      <c r="B308">
        <v>1100</v>
      </c>
      <c r="C308">
        <v>80</v>
      </c>
      <c r="D308">
        <v>1333</v>
      </c>
    </row>
    <row r="309" spans="2:10">
      <c r="B309">
        <v>1200</v>
      </c>
      <c r="C309">
        <v>86</v>
      </c>
      <c r="D309">
        <v>1014</v>
      </c>
    </row>
    <row r="310" spans="2:10">
      <c r="B310">
        <v>1400</v>
      </c>
      <c r="C310">
        <v>100</v>
      </c>
      <c r="D310">
        <v>1013</v>
      </c>
    </row>
    <row r="311" spans="2:10">
      <c r="B311">
        <v>1600</v>
      </c>
      <c r="C311">
        <v>110</v>
      </c>
      <c r="D311">
        <v>1004</v>
      </c>
    </row>
    <row r="312" spans="2:10">
      <c r="B312">
        <v>1800</v>
      </c>
      <c r="C312">
        <v>127</v>
      </c>
      <c r="D312">
        <v>1010</v>
      </c>
    </row>
    <row r="315" spans="2:10">
      <c r="B315" t="s">
        <v>3372</v>
      </c>
    </row>
    <row r="316" spans="2:10">
      <c r="C316" t="s">
        <v>3342</v>
      </c>
      <c r="E316" t="s">
        <v>3345</v>
      </c>
      <c r="G316" t="s">
        <v>3347</v>
      </c>
      <c r="I316" t="s">
        <v>3373</v>
      </c>
      <c r="J316" t="s">
        <v>3374</v>
      </c>
    </row>
    <row r="317" spans="2:10">
      <c r="C317" t="s">
        <v>3356</v>
      </c>
      <c r="E317" t="s">
        <v>3352</v>
      </c>
      <c r="G317" t="s">
        <v>3375</v>
      </c>
      <c r="I317" t="s">
        <v>3376</v>
      </c>
    </row>
    <row r="318" spans="2:10">
      <c r="B318" t="s">
        <v>3314</v>
      </c>
      <c r="C318" t="s">
        <v>3315</v>
      </c>
      <c r="E318" t="s">
        <v>3315</v>
      </c>
      <c r="G318" t="s">
        <v>3315</v>
      </c>
      <c r="I318" t="s">
        <v>3315</v>
      </c>
    </row>
    <row r="319" spans="2:10">
      <c r="B319" t="s">
        <v>2670</v>
      </c>
      <c r="C319" t="s">
        <v>3316</v>
      </c>
      <c r="D319" t="s">
        <v>1322</v>
      </c>
      <c r="E319" t="s">
        <v>3316</v>
      </c>
      <c r="F319" t="s">
        <v>1322</v>
      </c>
      <c r="G319" t="s">
        <v>3316</v>
      </c>
      <c r="H319" t="s">
        <v>1322</v>
      </c>
      <c r="I319" t="s">
        <v>3316</v>
      </c>
      <c r="J319" t="s">
        <v>1322</v>
      </c>
    </row>
    <row r="320" spans="2:10">
      <c r="B320">
        <v>10</v>
      </c>
      <c r="C320" t="s">
        <v>3318</v>
      </c>
      <c r="D320" t="s">
        <v>3318</v>
      </c>
      <c r="E320" t="s">
        <v>3318</v>
      </c>
      <c r="F320" t="s">
        <v>3318</v>
      </c>
      <c r="G320" t="s">
        <v>3318</v>
      </c>
      <c r="H320" t="s">
        <v>3318</v>
      </c>
      <c r="I320">
        <v>1.9</v>
      </c>
      <c r="J320">
        <v>718</v>
      </c>
    </row>
    <row r="321" spans="2:10">
      <c r="B321">
        <v>12.5</v>
      </c>
      <c r="C321" t="s">
        <v>3318</v>
      </c>
      <c r="D321" t="s">
        <v>3318</v>
      </c>
      <c r="E321" t="s">
        <v>3318</v>
      </c>
      <c r="F321" t="s">
        <v>3318</v>
      </c>
      <c r="G321" t="s">
        <v>3318</v>
      </c>
      <c r="H321" t="s">
        <v>3318</v>
      </c>
      <c r="I321">
        <v>2.1</v>
      </c>
      <c r="J321">
        <v>683</v>
      </c>
    </row>
    <row r="322" spans="2:10">
      <c r="B322">
        <v>19</v>
      </c>
      <c r="C322" t="s">
        <v>3318</v>
      </c>
      <c r="D322" t="s">
        <v>3318</v>
      </c>
      <c r="E322" t="s">
        <v>3318</v>
      </c>
      <c r="F322" t="s">
        <v>3318</v>
      </c>
      <c r="G322" t="s">
        <v>3318</v>
      </c>
      <c r="H322" t="s">
        <v>3318</v>
      </c>
      <c r="I322">
        <v>2.5</v>
      </c>
      <c r="J322">
        <v>668</v>
      </c>
    </row>
    <row r="323" spans="2:10">
      <c r="B323">
        <v>25</v>
      </c>
      <c r="C323" t="s">
        <v>3318</v>
      </c>
      <c r="D323" t="s">
        <v>3318</v>
      </c>
      <c r="E323" t="s">
        <v>3318</v>
      </c>
      <c r="F323" t="s">
        <v>3318</v>
      </c>
      <c r="G323" t="s">
        <v>3318</v>
      </c>
      <c r="H323" t="s">
        <v>3318</v>
      </c>
      <c r="I323">
        <v>2.7</v>
      </c>
      <c r="J323">
        <v>627</v>
      </c>
    </row>
    <row r="324" spans="2:10">
      <c r="B324">
        <v>30</v>
      </c>
      <c r="C324" t="s">
        <v>3318</v>
      </c>
      <c r="D324" t="s">
        <v>3318</v>
      </c>
      <c r="E324" t="s">
        <v>3318</v>
      </c>
      <c r="F324" t="s">
        <v>3318</v>
      </c>
      <c r="G324">
        <v>2.7</v>
      </c>
      <c r="H324">
        <v>565</v>
      </c>
      <c r="I324">
        <v>3.2</v>
      </c>
      <c r="J324">
        <v>610</v>
      </c>
    </row>
    <row r="325" spans="2:10">
      <c r="B325">
        <v>35</v>
      </c>
      <c r="C325" t="s">
        <v>3318</v>
      </c>
      <c r="D325" t="s">
        <v>3318</v>
      </c>
      <c r="E325" t="s">
        <v>3318</v>
      </c>
      <c r="F325" t="s">
        <v>3318</v>
      </c>
      <c r="G325">
        <v>3</v>
      </c>
      <c r="H325">
        <v>558</v>
      </c>
      <c r="I325">
        <v>3.7</v>
      </c>
      <c r="J325">
        <v>613</v>
      </c>
    </row>
    <row r="326" spans="2:10">
      <c r="B326">
        <v>50</v>
      </c>
      <c r="C326" t="s">
        <v>3318</v>
      </c>
      <c r="D326" t="s">
        <v>3318</v>
      </c>
      <c r="E326">
        <v>3</v>
      </c>
      <c r="F326">
        <v>504</v>
      </c>
      <c r="G326">
        <v>3.7</v>
      </c>
      <c r="H326">
        <v>554</v>
      </c>
      <c r="I326">
        <v>4.5</v>
      </c>
      <c r="J326">
        <v>607</v>
      </c>
    </row>
    <row r="327" spans="2:10">
      <c r="B327">
        <v>60</v>
      </c>
      <c r="C327" t="s">
        <v>3318</v>
      </c>
      <c r="D327" t="s">
        <v>3318</v>
      </c>
      <c r="E327">
        <v>3.5</v>
      </c>
      <c r="F327">
        <v>490</v>
      </c>
      <c r="G327">
        <v>4.5</v>
      </c>
      <c r="H327">
        <v>549</v>
      </c>
      <c r="I327">
        <v>5.5</v>
      </c>
      <c r="J327">
        <v>601</v>
      </c>
    </row>
    <row r="328" spans="2:10">
      <c r="B328">
        <v>75</v>
      </c>
      <c r="C328">
        <v>3.4</v>
      </c>
      <c r="D328">
        <v>446</v>
      </c>
      <c r="E328">
        <v>4.0999999999999996</v>
      </c>
      <c r="F328">
        <v>487</v>
      </c>
      <c r="G328">
        <v>5.3</v>
      </c>
      <c r="H328">
        <v>548</v>
      </c>
      <c r="I328">
        <v>6.6</v>
      </c>
      <c r="J328">
        <v>600</v>
      </c>
    </row>
    <row r="329" spans="2:10">
      <c r="B329">
        <v>100</v>
      </c>
      <c r="C329">
        <v>4</v>
      </c>
      <c r="D329">
        <v>429</v>
      </c>
      <c r="E329">
        <v>5.2</v>
      </c>
      <c r="F329">
        <v>485</v>
      </c>
      <c r="G329">
        <v>6.8</v>
      </c>
      <c r="H329">
        <v>548</v>
      </c>
      <c r="I329">
        <v>8.3000000000000007</v>
      </c>
      <c r="J329">
        <v>599</v>
      </c>
    </row>
    <row r="330" spans="2:10">
      <c r="B330">
        <v>125</v>
      </c>
      <c r="C330">
        <v>4.4000000000000004</v>
      </c>
      <c r="D330">
        <v>407</v>
      </c>
      <c r="E330">
        <v>6.3</v>
      </c>
      <c r="F330">
        <v>482</v>
      </c>
      <c r="G330">
        <v>8.3000000000000007</v>
      </c>
      <c r="H330">
        <v>547</v>
      </c>
      <c r="I330">
        <v>10.1</v>
      </c>
      <c r="J330">
        <v>597</v>
      </c>
    </row>
    <row r="331" spans="2:10">
      <c r="B331">
        <v>150</v>
      </c>
      <c r="C331">
        <v>5.2</v>
      </c>
      <c r="D331">
        <v>404</v>
      </c>
      <c r="E331">
        <v>7.5</v>
      </c>
      <c r="F331">
        <v>480</v>
      </c>
      <c r="G331">
        <v>9.9</v>
      </c>
      <c r="H331">
        <v>545</v>
      </c>
      <c r="I331">
        <v>12.1</v>
      </c>
      <c r="J331">
        <v>596</v>
      </c>
    </row>
    <row r="332" spans="2:10">
      <c r="B332">
        <v>175</v>
      </c>
      <c r="C332">
        <v>6</v>
      </c>
      <c r="D332">
        <v>404</v>
      </c>
      <c r="E332">
        <v>8.6999999999999993</v>
      </c>
      <c r="F332">
        <v>481</v>
      </c>
      <c r="G332">
        <v>11.4</v>
      </c>
      <c r="H332">
        <v>544</v>
      </c>
      <c r="I332">
        <v>13.9</v>
      </c>
      <c r="J332">
        <v>595</v>
      </c>
    </row>
    <row r="333" spans="2:10">
      <c r="B333">
        <v>200</v>
      </c>
      <c r="C333">
        <v>6.1</v>
      </c>
      <c r="D333">
        <v>384</v>
      </c>
      <c r="E333">
        <v>8.8000000000000007</v>
      </c>
      <c r="F333">
        <v>457</v>
      </c>
      <c r="G333">
        <v>11.6</v>
      </c>
      <c r="H333">
        <v>519</v>
      </c>
      <c r="I333">
        <v>14.1</v>
      </c>
      <c r="J333">
        <v>567</v>
      </c>
    </row>
    <row r="334" spans="2:10">
      <c r="B334">
        <v>225</v>
      </c>
      <c r="C334">
        <v>6.7</v>
      </c>
      <c r="D334">
        <v>382</v>
      </c>
      <c r="E334">
        <v>9.8000000000000007</v>
      </c>
      <c r="F334">
        <v>457</v>
      </c>
      <c r="G334">
        <v>12.9</v>
      </c>
      <c r="H334">
        <v>519</v>
      </c>
      <c r="I334">
        <v>15.8</v>
      </c>
      <c r="J334">
        <v>569</v>
      </c>
    </row>
    <row r="335" spans="2:10">
      <c r="B335">
        <v>250</v>
      </c>
      <c r="C335">
        <v>7.5</v>
      </c>
      <c r="D335">
        <v>382</v>
      </c>
      <c r="E335">
        <v>10.9</v>
      </c>
      <c r="F335">
        <v>455</v>
      </c>
      <c r="G335">
        <v>14.3</v>
      </c>
      <c r="H335">
        <v>516</v>
      </c>
      <c r="I335">
        <v>17.5</v>
      </c>
      <c r="J335">
        <v>566</v>
      </c>
    </row>
    <row r="336" spans="2:10">
      <c r="B336">
        <v>300</v>
      </c>
      <c r="C336">
        <v>8.8000000000000007</v>
      </c>
      <c r="D336">
        <v>380</v>
      </c>
      <c r="E336">
        <v>12.9</v>
      </c>
      <c r="F336">
        <v>455</v>
      </c>
      <c r="G336">
        <v>17</v>
      </c>
      <c r="H336">
        <v>517</v>
      </c>
      <c r="I336">
        <v>20.8</v>
      </c>
      <c r="J336">
        <v>567</v>
      </c>
    </row>
    <row r="337" spans="2:10">
      <c r="B337">
        <v>350</v>
      </c>
      <c r="C337">
        <v>9.6</v>
      </c>
      <c r="D337">
        <v>378</v>
      </c>
      <c r="E337">
        <v>14.1</v>
      </c>
      <c r="F337">
        <v>454</v>
      </c>
      <c r="G337">
        <v>18.600000000000001</v>
      </c>
      <c r="H337">
        <v>516</v>
      </c>
      <c r="I337">
        <v>22.8</v>
      </c>
      <c r="J337">
        <v>566</v>
      </c>
    </row>
    <row r="338" spans="2:10">
      <c r="B338">
        <v>400</v>
      </c>
      <c r="C338">
        <v>10.9</v>
      </c>
      <c r="D338">
        <v>377</v>
      </c>
      <c r="E338">
        <v>16.2</v>
      </c>
      <c r="F338">
        <v>455</v>
      </c>
      <c r="G338">
        <v>21.1</v>
      </c>
      <c r="H338">
        <v>515</v>
      </c>
      <c r="I338">
        <v>26</v>
      </c>
      <c r="J338">
        <v>566</v>
      </c>
    </row>
    <row r="339" spans="2:10">
      <c r="B339">
        <v>450</v>
      </c>
      <c r="C339">
        <v>12.3</v>
      </c>
      <c r="D339">
        <v>378</v>
      </c>
      <c r="E339">
        <v>18.2</v>
      </c>
      <c r="F339">
        <v>455</v>
      </c>
      <c r="G339">
        <v>23.8</v>
      </c>
      <c r="H339">
        <v>515</v>
      </c>
      <c r="I339" t="s">
        <v>3318</v>
      </c>
      <c r="J339" t="s">
        <v>3318</v>
      </c>
    </row>
    <row r="340" spans="2:10">
      <c r="B340">
        <v>500</v>
      </c>
      <c r="C340">
        <v>13.7</v>
      </c>
      <c r="D340">
        <v>378</v>
      </c>
      <c r="E340">
        <v>20.2</v>
      </c>
      <c r="F340">
        <v>455</v>
      </c>
      <c r="G340" t="s">
        <v>3318</v>
      </c>
      <c r="H340" t="s">
        <v>3318</v>
      </c>
      <c r="I340" t="s">
        <v>3318</v>
      </c>
      <c r="J340" t="s">
        <v>3318</v>
      </c>
    </row>
    <row r="341" spans="2:10">
      <c r="B341">
        <v>550</v>
      </c>
      <c r="C341">
        <v>15</v>
      </c>
      <c r="D341">
        <v>377</v>
      </c>
      <c r="E341">
        <v>22.1</v>
      </c>
      <c r="F341">
        <v>453</v>
      </c>
      <c r="G341" t="s">
        <v>3318</v>
      </c>
      <c r="H341" t="s">
        <v>3318</v>
      </c>
      <c r="I341" t="s">
        <v>3318</v>
      </c>
      <c r="J341" t="s">
        <v>3318</v>
      </c>
    </row>
    <row r="342" spans="2:10">
      <c r="B342">
        <v>600</v>
      </c>
      <c r="C342">
        <v>16.3</v>
      </c>
      <c r="D342">
        <v>377</v>
      </c>
      <c r="E342">
        <v>24.1</v>
      </c>
      <c r="F342">
        <v>453</v>
      </c>
      <c r="G342" t="s">
        <v>3318</v>
      </c>
      <c r="H342" t="s">
        <v>3318</v>
      </c>
      <c r="I342" t="s">
        <v>3318</v>
      </c>
      <c r="J342" t="s">
        <v>3318</v>
      </c>
    </row>
  </sheetData>
  <sheetProtection password="FE3F" sheet="1" objects="1" scenarios="1" formatRows="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1170"/>
  <sheetViews>
    <sheetView workbookViewId="0"/>
  </sheetViews>
  <sheetFormatPr defaultRowHeight="14.25"/>
  <sheetData>
    <row r="1" spans="1:25" ht="15">
      <c r="A1" s="6" t="s">
        <v>3377</v>
      </c>
      <c r="B1" s="6"/>
      <c r="C1" s="6"/>
      <c r="D1" s="6"/>
      <c r="E1" s="6"/>
      <c r="F1" s="6"/>
      <c r="G1" s="6"/>
      <c r="H1" s="6"/>
      <c r="I1" s="6"/>
      <c r="J1" s="6"/>
      <c r="K1" s="6"/>
      <c r="L1" s="6"/>
      <c r="M1" s="6"/>
      <c r="N1" s="6"/>
      <c r="O1" s="6"/>
      <c r="P1" s="6"/>
      <c r="Q1" s="6"/>
      <c r="R1" s="6"/>
      <c r="S1" s="6"/>
      <c r="T1" s="6"/>
      <c r="U1" s="6"/>
      <c r="V1" s="6"/>
      <c r="W1" s="6"/>
      <c r="X1" s="6"/>
      <c r="Y1" s="6"/>
    </row>
    <row r="2" spans="1:25">
      <c r="A2" t="s">
        <v>3378</v>
      </c>
    </row>
    <row r="4" spans="1:25">
      <c r="A4" t="s">
        <v>5</v>
      </c>
      <c r="B4" t="s">
        <v>3379</v>
      </c>
    </row>
    <row r="5" spans="1:25">
      <c r="C5" t="s">
        <v>3380</v>
      </c>
      <c r="E5" t="s">
        <v>3381</v>
      </c>
      <c r="G5" t="s">
        <v>3382</v>
      </c>
    </row>
    <row r="6" spans="1:25">
      <c r="B6" t="s">
        <v>3383</v>
      </c>
      <c r="C6" t="s">
        <v>3384</v>
      </c>
      <c r="D6" t="s">
        <v>3385</v>
      </c>
      <c r="E6" t="s">
        <v>3384</v>
      </c>
      <c r="F6" t="s">
        <v>3385</v>
      </c>
      <c r="G6" t="s">
        <v>3384</v>
      </c>
      <c r="H6" t="s">
        <v>3385</v>
      </c>
    </row>
    <row r="7" spans="1:25">
      <c r="B7">
        <v>1.5</v>
      </c>
      <c r="C7">
        <v>0.35</v>
      </c>
      <c r="D7">
        <v>2.2000000000000002</v>
      </c>
      <c r="E7">
        <v>0.35</v>
      </c>
      <c r="F7">
        <v>2.2000000000000002</v>
      </c>
      <c r="G7">
        <v>0.35</v>
      </c>
      <c r="H7">
        <v>2.2000000000000002</v>
      </c>
    </row>
    <row r="8" spans="1:25">
      <c r="B8">
        <v>2</v>
      </c>
      <c r="C8">
        <v>0.36</v>
      </c>
      <c r="D8">
        <v>2.72</v>
      </c>
      <c r="E8">
        <v>0.36</v>
      </c>
      <c r="F8">
        <v>2.72</v>
      </c>
      <c r="G8">
        <v>0.36</v>
      </c>
      <c r="H8">
        <v>2.72</v>
      </c>
    </row>
    <row r="9" spans="1:25">
      <c r="B9">
        <v>2.5</v>
      </c>
      <c r="C9">
        <v>0.37</v>
      </c>
      <c r="D9">
        <v>3.24</v>
      </c>
      <c r="E9">
        <v>0.37</v>
      </c>
      <c r="F9">
        <v>3.24</v>
      </c>
      <c r="G9">
        <v>0.37</v>
      </c>
      <c r="H9">
        <v>3.24</v>
      </c>
    </row>
    <row r="10" spans="1:25">
      <c r="B10">
        <v>3</v>
      </c>
      <c r="C10">
        <v>0.38</v>
      </c>
      <c r="D10">
        <v>3.76</v>
      </c>
      <c r="E10">
        <v>0.38</v>
      </c>
      <c r="F10">
        <v>3.76</v>
      </c>
      <c r="G10">
        <v>0.4</v>
      </c>
      <c r="H10">
        <v>3.76</v>
      </c>
    </row>
    <row r="11" spans="1:25">
      <c r="B11">
        <v>4</v>
      </c>
      <c r="C11">
        <v>0.39</v>
      </c>
      <c r="D11">
        <v>4.8</v>
      </c>
      <c r="E11">
        <v>0.4</v>
      </c>
      <c r="F11">
        <v>4.8</v>
      </c>
      <c r="G11">
        <v>0.46</v>
      </c>
      <c r="H11">
        <v>4.8</v>
      </c>
    </row>
    <row r="12" spans="1:25">
      <c r="B12">
        <v>5</v>
      </c>
      <c r="C12">
        <v>0.41</v>
      </c>
      <c r="D12">
        <v>5.9</v>
      </c>
      <c r="E12">
        <v>0.45</v>
      </c>
      <c r="F12">
        <v>5.9</v>
      </c>
      <c r="G12">
        <v>0.52</v>
      </c>
      <c r="H12">
        <v>5.9</v>
      </c>
    </row>
    <row r="13" spans="1:25">
      <c r="B13">
        <v>6</v>
      </c>
      <c r="C13">
        <v>0.43</v>
      </c>
      <c r="D13">
        <v>6.98</v>
      </c>
      <c r="E13">
        <v>0.49</v>
      </c>
      <c r="F13">
        <v>6.98</v>
      </c>
      <c r="G13">
        <v>0.56999999999999995</v>
      </c>
      <c r="H13">
        <v>6.98</v>
      </c>
    </row>
    <row r="14" spans="1:25">
      <c r="B14">
        <v>7</v>
      </c>
      <c r="C14">
        <v>0.45</v>
      </c>
      <c r="D14">
        <v>8.06</v>
      </c>
      <c r="E14">
        <v>0.53</v>
      </c>
      <c r="F14">
        <v>8.06</v>
      </c>
      <c r="G14">
        <v>0.61</v>
      </c>
      <c r="H14">
        <v>8.06</v>
      </c>
    </row>
    <row r="15" spans="1:25">
      <c r="B15">
        <v>8</v>
      </c>
      <c r="C15">
        <v>0.47</v>
      </c>
      <c r="D15">
        <v>9.14</v>
      </c>
      <c r="E15">
        <v>0.56999999999999995</v>
      </c>
      <c r="F15">
        <v>9.14</v>
      </c>
      <c r="G15">
        <v>0.65</v>
      </c>
      <c r="H15">
        <v>9.14</v>
      </c>
    </row>
    <row r="16" spans="1:25">
      <c r="B16">
        <v>9</v>
      </c>
      <c r="C16">
        <v>0.49</v>
      </c>
      <c r="D16">
        <v>10.199999999999999</v>
      </c>
      <c r="E16">
        <v>0.6</v>
      </c>
      <c r="F16">
        <v>10.199999999999999</v>
      </c>
      <c r="G16">
        <v>0.69</v>
      </c>
      <c r="H16">
        <v>10.199999999999999</v>
      </c>
    </row>
    <row r="17" spans="2:8">
      <c r="B17">
        <v>10</v>
      </c>
      <c r="C17">
        <v>0.52</v>
      </c>
      <c r="D17">
        <v>11.26</v>
      </c>
      <c r="E17">
        <v>0.63</v>
      </c>
      <c r="F17">
        <v>11.26</v>
      </c>
      <c r="G17">
        <v>0.73</v>
      </c>
      <c r="H17">
        <v>11.26</v>
      </c>
    </row>
    <row r="18" spans="2:8">
      <c r="B18">
        <v>12</v>
      </c>
      <c r="C18">
        <v>0.56999999999999995</v>
      </c>
      <c r="D18">
        <v>13.14</v>
      </c>
      <c r="E18">
        <v>0.69</v>
      </c>
      <c r="F18">
        <v>13.6</v>
      </c>
      <c r="G18">
        <v>0.8</v>
      </c>
      <c r="H18">
        <v>13.6</v>
      </c>
    </row>
    <row r="19" spans="2:8">
      <c r="B19">
        <v>14</v>
      </c>
      <c r="C19">
        <v>0.61</v>
      </c>
      <c r="D19">
        <v>15.22</v>
      </c>
      <c r="E19">
        <v>0.75</v>
      </c>
      <c r="F19">
        <v>15.72</v>
      </c>
      <c r="G19">
        <v>0.86</v>
      </c>
      <c r="H19">
        <v>15.72</v>
      </c>
    </row>
    <row r="20" spans="2:8">
      <c r="B20">
        <v>15</v>
      </c>
      <c r="C20">
        <v>0.63</v>
      </c>
      <c r="D20">
        <v>16.260000000000002</v>
      </c>
      <c r="E20">
        <v>0.77</v>
      </c>
      <c r="F20">
        <v>16.78</v>
      </c>
      <c r="G20">
        <v>0.89</v>
      </c>
      <c r="H20">
        <v>16.78</v>
      </c>
    </row>
    <row r="21" spans="2:8">
      <c r="B21">
        <v>16</v>
      </c>
      <c r="C21">
        <v>0.65</v>
      </c>
      <c r="D21">
        <v>17.3</v>
      </c>
      <c r="E21">
        <v>0.8</v>
      </c>
      <c r="F21">
        <v>17.84</v>
      </c>
      <c r="G21">
        <v>0.92</v>
      </c>
      <c r="H21">
        <v>17.84</v>
      </c>
    </row>
    <row r="22" spans="2:8">
      <c r="B22">
        <v>18</v>
      </c>
      <c r="C22">
        <v>0.69</v>
      </c>
      <c r="D22">
        <v>19.38</v>
      </c>
      <c r="E22">
        <v>0.85</v>
      </c>
      <c r="F22">
        <v>19.96</v>
      </c>
      <c r="G22">
        <v>0.98</v>
      </c>
      <c r="H22">
        <v>19.96</v>
      </c>
    </row>
    <row r="23" spans="2:8">
      <c r="B23">
        <v>20</v>
      </c>
      <c r="C23">
        <v>0.73</v>
      </c>
      <c r="D23">
        <v>21.46</v>
      </c>
      <c r="E23">
        <v>0.89</v>
      </c>
      <c r="F23">
        <v>22.06</v>
      </c>
      <c r="G23">
        <v>1.03</v>
      </c>
      <c r="H23">
        <v>22.06</v>
      </c>
    </row>
    <row r="24" spans="2:8">
      <c r="B24">
        <v>21</v>
      </c>
      <c r="C24">
        <v>0.75</v>
      </c>
      <c r="D24">
        <v>22.5</v>
      </c>
      <c r="E24">
        <v>0.92</v>
      </c>
      <c r="F24">
        <v>23.12</v>
      </c>
      <c r="G24">
        <v>1.06</v>
      </c>
      <c r="H24">
        <v>23.12</v>
      </c>
    </row>
    <row r="25" spans="2:8">
      <c r="B25">
        <v>22</v>
      </c>
      <c r="C25">
        <v>0.77</v>
      </c>
      <c r="D25">
        <v>23.54</v>
      </c>
      <c r="E25">
        <v>0.94</v>
      </c>
      <c r="F25">
        <v>24.16</v>
      </c>
      <c r="G25">
        <v>1.08</v>
      </c>
      <c r="H25">
        <v>24.16</v>
      </c>
    </row>
    <row r="26" spans="2:8">
      <c r="B26">
        <v>24</v>
      </c>
      <c r="C26">
        <v>0.8</v>
      </c>
      <c r="D26">
        <v>25.6</v>
      </c>
      <c r="E26">
        <v>0.98</v>
      </c>
      <c r="F26">
        <v>26.26</v>
      </c>
      <c r="G26">
        <v>1.1299999999999999</v>
      </c>
      <c r="H26">
        <v>26.26</v>
      </c>
    </row>
    <row r="27" spans="2:8">
      <c r="B27">
        <v>26</v>
      </c>
      <c r="C27">
        <v>0.83</v>
      </c>
      <c r="D27">
        <v>27.66</v>
      </c>
      <c r="E27">
        <v>1.02</v>
      </c>
      <c r="F27">
        <v>28.36</v>
      </c>
      <c r="G27">
        <v>1.18</v>
      </c>
      <c r="H27">
        <v>28.36</v>
      </c>
    </row>
    <row r="28" spans="2:8">
      <c r="B28">
        <v>27</v>
      </c>
      <c r="C28">
        <v>0.85</v>
      </c>
      <c r="D28">
        <v>28.7</v>
      </c>
      <c r="E28">
        <v>1.04</v>
      </c>
      <c r="F28">
        <v>29.4</v>
      </c>
      <c r="G28">
        <v>1.2</v>
      </c>
      <c r="H28">
        <v>29.4</v>
      </c>
    </row>
    <row r="29" spans="2:8">
      <c r="B29">
        <v>28</v>
      </c>
      <c r="C29">
        <v>0.86</v>
      </c>
      <c r="D29">
        <v>29.72</v>
      </c>
      <c r="E29">
        <v>1.06</v>
      </c>
      <c r="F29">
        <v>30.44</v>
      </c>
      <c r="G29">
        <v>1.22</v>
      </c>
      <c r="H29">
        <v>30.44</v>
      </c>
    </row>
    <row r="30" spans="2:8">
      <c r="B30">
        <v>30</v>
      </c>
      <c r="C30">
        <v>0.89</v>
      </c>
      <c r="D30">
        <v>31.78</v>
      </c>
      <c r="E30">
        <v>1.0900000000000001</v>
      </c>
      <c r="F30">
        <v>32.520000000000003</v>
      </c>
      <c r="G30">
        <v>1.26</v>
      </c>
      <c r="H30">
        <v>32.520000000000003</v>
      </c>
    </row>
    <row r="31" spans="2:8">
      <c r="B31">
        <v>32</v>
      </c>
      <c r="C31">
        <v>0.92</v>
      </c>
      <c r="D31">
        <v>33.840000000000003</v>
      </c>
      <c r="E31">
        <v>1.1299999999999999</v>
      </c>
      <c r="F31">
        <v>34.619999999999997</v>
      </c>
      <c r="G31">
        <v>1.31</v>
      </c>
      <c r="H31">
        <v>34.619999999999997</v>
      </c>
    </row>
    <row r="32" spans="2:8">
      <c r="B32">
        <v>33</v>
      </c>
      <c r="C32">
        <v>0.94</v>
      </c>
      <c r="D32">
        <v>34.880000000000003</v>
      </c>
      <c r="E32">
        <v>1.1499999999999999</v>
      </c>
      <c r="F32">
        <v>35.659999999999997</v>
      </c>
      <c r="G32">
        <v>1.33</v>
      </c>
      <c r="H32">
        <v>35.659999999999997</v>
      </c>
    </row>
    <row r="33" spans="1:17">
      <c r="B33">
        <v>36</v>
      </c>
      <c r="C33">
        <v>0.98</v>
      </c>
      <c r="D33">
        <v>37.96</v>
      </c>
      <c r="E33">
        <v>1.2</v>
      </c>
      <c r="F33">
        <v>38.76</v>
      </c>
      <c r="G33">
        <v>1.38</v>
      </c>
      <c r="H33">
        <v>38.76</v>
      </c>
    </row>
    <row r="34" spans="1:17">
      <c r="B34">
        <v>38</v>
      </c>
      <c r="C34">
        <v>1.01</v>
      </c>
      <c r="D34">
        <v>40.020000000000003</v>
      </c>
      <c r="E34">
        <v>1.23</v>
      </c>
      <c r="F34">
        <v>40.840000000000003</v>
      </c>
      <c r="G34">
        <v>1.42</v>
      </c>
      <c r="H34">
        <v>40.840000000000003</v>
      </c>
    </row>
    <row r="35" spans="1:17">
      <c r="B35">
        <v>39</v>
      </c>
      <c r="C35">
        <v>1.02</v>
      </c>
      <c r="D35">
        <v>41.04</v>
      </c>
      <c r="E35">
        <v>1.25</v>
      </c>
      <c r="F35">
        <v>41.88</v>
      </c>
      <c r="G35">
        <v>1.44</v>
      </c>
      <c r="H35">
        <v>41.88</v>
      </c>
    </row>
    <row r="36" spans="1:17">
      <c r="B36">
        <v>40</v>
      </c>
      <c r="C36">
        <v>1.03</v>
      </c>
      <c r="D36">
        <v>42.06</v>
      </c>
      <c r="E36">
        <v>1.26</v>
      </c>
      <c r="F36">
        <v>42.92</v>
      </c>
      <c r="G36">
        <v>1.46</v>
      </c>
      <c r="H36">
        <v>42.92</v>
      </c>
    </row>
    <row r="37" spans="1:17">
      <c r="B37">
        <v>42</v>
      </c>
      <c r="C37">
        <v>1.06</v>
      </c>
      <c r="D37">
        <v>44.12</v>
      </c>
      <c r="E37">
        <v>1.3</v>
      </c>
      <c r="F37">
        <v>45</v>
      </c>
      <c r="G37">
        <v>1.5</v>
      </c>
      <c r="H37">
        <v>45</v>
      </c>
    </row>
    <row r="38" spans="1:17">
      <c r="B38">
        <v>44</v>
      </c>
      <c r="C38">
        <v>1.08</v>
      </c>
      <c r="D38">
        <v>46.16</v>
      </c>
      <c r="E38">
        <v>1.33</v>
      </c>
      <c r="F38">
        <v>47.06</v>
      </c>
      <c r="G38">
        <v>1.53</v>
      </c>
      <c r="H38">
        <v>47.06</v>
      </c>
    </row>
    <row r="39" spans="1:17">
      <c r="B39">
        <v>45</v>
      </c>
      <c r="C39">
        <v>1.0900000000000001</v>
      </c>
      <c r="D39">
        <v>47.18</v>
      </c>
      <c r="E39">
        <v>1.35</v>
      </c>
      <c r="F39">
        <v>48.1</v>
      </c>
      <c r="G39">
        <v>1.55</v>
      </c>
      <c r="H39">
        <v>48.1</v>
      </c>
    </row>
    <row r="40" spans="1:17">
      <c r="B40">
        <v>46</v>
      </c>
      <c r="C40">
        <v>1.1000000000000001</v>
      </c>
      <c r="D40">
        <v>48.22</v>
      </c>
      <c r="E40">
        <v>1.36</v>
      </c>
      <c r="F40">
        <v>49.14</v>
      </c>
      <c r="G40">
        <v>1.57</v>
      </c>
      <c r="H40">
        <v>49.14</v>
      </c>
    </row>
    <row r="41" spans="1:17">
      <c r="B41">
        <v>48</v>
      </c>
      <c r="C41">
        <v>1.1299999999999999</v>
      </c>
      <c r="D41">
        <v>50.26</v>
      </c>
      <c r="E41">
        <v>1.38</v>
      </c>
      <c r="F41">
        <v>51.2</v>
      </c>
      <c r="G41">
        <v>1.6</v>
      </c>
      <c r="H41">
        <v>51.2</v>
      </c>
    </row>
    <row r="44" spans="1:17">
      <c r="A44" t="s">
        <v>3386</v>
      </c>
    </row>
    <row r="46" spans="1:17">
      <c r="B46" t="s">
        <v>3387</v>
      </c>
    </row>
    <row r="47" spans="1:17">
      <c r="F47" t="s">
        <v>3388</v>
      </c>
      <c r="J47" t="s">
        <v>3389</v>
      </c>
      <c r="N47" t="s">
        <v>3390</v>
      </c>
    </row>
    <row r="48" spans="1:17">
      <c r="B48" t="s">
        <v>3391</v>
      </c>
      <c r="C48" t="s">
        <v>3392</v>
      </c>
      <c r="D48" t="s">
        <v>3393</v>
      </c>
      <c r="E48" t="s">
        <v>3394</v>
      </c>
      <c r="H48" t="s">
        <v>3395</v>
      </c>
      <c r="I48" t="s">
        <v>3396</v>
      </c>
      <c r="L48" t="s">
        <v>3395</v>
      </c>
      <c r="M48" t="s">
        <v>3396</v>
      </c>
      <c r="P48" t="s">
        <v>3395</v>
      </c>
      <c r="Q48" t="s">
        <v>3396</v>
      </c>
    </row>
    <row r="49" spans="2:17">
      <c r="B49">
        <v>1.5</v>
      </c>
      <c r="C49">
        <v>55.88</v>
      </c>
      <c r="D49">
        <v>54.356000000000002</v>
      </c>
      <c r="E49">
        <v>57.404000000000003</v>
      </c>
      <c r="F49" t="s">
        <v>3342</v>
      </c>
      <c r="G49" t="s">
        <v>3397</v>
      </c>
      <c r="H49">
        <v>7.62</v>
      </c>
      <c r="I49">
        <v>8.89</v>
      </c>
      <c r="J49" t="s">
        <v>3345</v>
      </c>
      <c r="K49" t="s">
        <v>3398</v>
      </c>
      <c r="L49">
        <v>7.62</v>
      </c>
      <c r="M49">
        <v>8.89</v>
      </c>
      <c r="N49" t="s">
        <v>3347</v>
      </c>
      <c r="O49" t="s">
        <v>3399</v>
      </c>
      <c r="P49">
        <v>7.62</v>
      </c>
      <c r="Q49">
        <v>8.89</v>
      </c>
    </row>
    <row r="50" spans="2:17">
      <c r="B50">
        <v>2</v>
      </c>
      <c r="C50">
        <v>69.088000000000008</v>
      </c>
      <c r="D50">
        <v>67.564000000000007</v>
      </c>
      <c r="E50">
        <v>70.612000000000009</v>
      </c>
      <c r="F50" t="s">
        <v>3342</v>
      </c>
      <c r="G50" t="s">
        <v>3397</v>
      </c>
      <c r="H50">
        <v>7.8739999999999988</v>
      </c>
      <c r="I50">
        <v>9.1439999999999984</v>
      </c>
      <c r="J50" t="s">
        <v>3345</v>
      </c>
      <c r="K50" t="s">
        <v>3398</v>
      </c>
      <c r="L50">
        <v>7.8739999999999988</v>
      </c>
      <c r="M50">
        <v>9.1439999999999984</v>
      </c>
      <c r="N50" t="s">
        <v>3347</v>
      </c>
      <c r="O50" t="s">
        <v>3399</v>
      </c>
      <c r="P50">
        <v>7.8739999999999988</v>
      </c>
      <c r="Q50">
        <v>9.1439999999999984</v>
      </c>
    </row>
    <row r="51" spans="2:17">
      <c r="B51">
        <v>2.5</v>
      </c>
      <c r="C51">
        <v>82.296000000000006</v>
      </c>
      <c r="D51">
        <v>80.772000000000006</v>
      </c>
      <c r="E51">
        <v>83.82</v>
      </c>
      <c r="F51" t="s">
        <v>3342</v>
      </c>
      <c r="G51" t="s">
        <v>3397</v>
      </c>
      <c r="H51">
        <v>8.1280000000000001</v>
      </c>
      <c r="I51">
        <v>9.3979999999999997</v>
      </c>
      <c r="J51" t="s">
        <v>3345</v>
      </c>
      <c r="K51" t="s">
        <v>3398</v>
      </c>
      <c r="L51">
        <v>8.1280000000000001</v>
      </c>
      <c r="M51">
        <v>9.3979999999999997</v>
      </c>
      <c r="N51" t="s">
        <v>3347</v>
      </c>
      <c r="O51" t="s">
        <v>3399</v>
      </c>
      <c r="P51">
        <v>8.1280000000000001</v>
      </c>
      <c r="Q51">
        <v>9.3979999999999997</v>
      </c>
    </row>
    <row r="52" spans="2:17">
      <c r="B52">
        <v>3</v>
      </c>
      <c r="C52">
        <v>95.503999999999991</v>
      </c>
      <c r="D52">
        <v>93.98</v>
      </c>
      <c r="E52">
        <v>97.027999999999992</v>
      </c>
      <c r="F52" t="s">
        <v>3342</v>
      </c>
      <c r="G52" t="s">
        <v>3397</v>
      </c>
      <c r="H52">
        <v>8.3819999999999997</v>
      </c>
      <c r="I52">
        <v>9.6519999999999992</v>
      </c>
      <c r="J52" t="s">
        <v>3345</v>
      </c>
      <c r="K52" t="s">
        <v>3398</v>
      </c>
      <c r="L52">
        <v>8.3819999999999997</v>
      </c>
      <c r="M52">
        <v>9.6519999999999992</v>
      </c>
      <c r="N52" t="s">
        <v>3347</v>
      </c>
      <c r="O52" t="s">
        <v>3399</v>
      </c>
      <c r="P52">
        <v>8.89</v>
      </c>
      <c r="Q52">
        <v>10.16</v>
      </c>
    </row>
    <row r="53" spans="2:17">
      <c r="B53">
        <v>4</v>
      </c>
      <c r="C53">
        <v>121.92</v>
      </c>
      <c r="D53">
        <v>120.396</v>
      </c>
      <c r="E53">
        <v>123.444</v>
      </c>
      <c r="F53" t="s">
        <v>3342</v>
      </c>
      <c r="G53" t="s">
        <v>3397</v>
      </c>
      <c r="H53">
        <v>8.636000000000001</v>
      </c>
      <c r="I53">
        <v>9.9060000000000006</v>
      </c>
      <c r="J53" t="s">
        <v>3345</v>
      </c>
      <c r="K53" t="s">
        <v>3398</v>
      </c>
      <c r="L53">
        <v>8.89</v>
      </c>
      <c r="M53">
        <v>10.16</v>
      </c>
      <c r="N53" t="s">
        <v>3347</v>
      </c>
      <c r="O53" t="s">
        <v>3399</v>
      </c>
      <c r="P53">
        <v>10.414</v>
      </c>
      <c r="Q53">
        <v>11.683999999999999</v>
      </c>
    </row>
    <row r="54" spans="2:17">
      <c r="B54">
        <v>5</v>
      </c>
      <c r="C54">
        <v>149.86000000000001</v>
      </c>
      <c r="D54">
        <v>148.33600000000001</v>
      </c>
      <c r="E54">
        <v>151.38399999999999</v>
      </c>
      <c r="F54" t="s">
        <v>3342</v>
      </c>
      <c r="G54" t="s">
        <v>3397</v>
      </c>
      <c r="H54">
        <v>9.1439999999999984</v>
      </c>
      <c r="I54">
        <v>10.414</v>
      </c>
      <c r="J54" t="s">
        <v>3345</v>
      </c>
      <c r="K54" t="s">
        <v>3398</v>
      </c>
      <c r="L54">
        <v>10.16</v>
      </c>
      <c r="M54">
        <v>11.43</v>
      </c>
      <c r="N54" t="s">
        <v>3347</v>
      </c>
      <c r="O54" t="s">
        <v>3399</v>
      </c>
      <c r="P54">
        <v>11.8872</v>
      </c>
      <c r="Q54">
        <v>13.208</v>
      </c>
    </row>
    <row r="55" spans="2:17">
      <c r="B55">
        <v>6</v>
      </c>
      <c r="C55">
        <v>177.292</v>
      </c>
      <c r="D55">
        <v>175.768</v>
      </c>
      <c r="E55">
        <v>178.816</v>
      </c>
      <c r="F55" t="s">
        <v>3342</v>
      </c>
      <c r="G55" t="s">
        <v>3397</v>
      </c>
      <c r="H55">
        <v>9.6519999999999992</v>
      </c>
      <c r="I55">
        <v>10.922000000000001</v>
      </c>
      <c r="J55" t="s">
        <v>3345</v>
      </c>
      <c r="K55" t="s">
        <v>3398</v>
      </c>
      <c r="L55">
        <v>11.176</v>
      </c>
      <c r="M55">
        <v>12.446</v>
      </c>
      <c r="N55" t="s">
        <v>3347</v>
      </c>
      <c r="O55" t="s">
        <v>3399</v>
      </c>
      <c r="P55">
        <v>13.030200000000001</v>
      </c>
      <c r="Q55">
        <v>14.478</v>
      </c>
    </row>
    <row r="56" spans="2:17">
      <c r="B56">
        <v>7</v>
      </c>
      <c r="C56">
        <v>204.72399999999999</v>
      </c>
      <c r="D56">
        <v>203.2</v>
      </c>
      <c r="E56">
        <v>206.24799999999999</v>
      </c>
      <c r="F56" t="s">
        <v>3342</v>
      </c>
      <c r="G56" t="s">
        <v>3397</v>
      </c>
      <c r="H56">
        <v>10.16</v>
      </c>
      <c r="I56">
        <v>11.43</v>
      </c>
      <c r="J56" t="s">
        <v>3345</v>
      </c>
      <c r="K56" t="s">
        <v>3398</v>
      </c>
      <c r="L56">
        <v>12.1158</v>
      </c>
      <c r="M56">
        <v>13.462</v>
      </c>
      <c r="N56" t="s">
        <v>3347</v>
      </c>
      <c r="O56" t="s">
        <v>3399</v>
      </c>
      <c r="P56">
        <v>13.944599999999999</v>
      </c>
      <c r="Q56">
        <v>15.494</v>
      </c>
    </row>
    <row r="57" spans="2:17">
      <c r="B57">
        <v>8</v>
      </c>
      <c r="C57">
        <v>232.15600000000001</v>
      </c>
      <c r="D57">
        <v>230.63200000000001</v>
      </c>
      <c r="E57">
        <v>233.68</v>
      </c>
      <c r="F57" t="s">
        <v>3342</v>
      </c>
      <c r="G57" t="s">
        <v>3397</v>
      </c>
      <c r="H57">
        <v>10.667999999999999</v>
      </c>
      <c r="I57">
        <v>11.938000000000001</v>
      </c>
      <c r="J57" t="s">
        <v>3345</v>
      </c>
      <c r="K57" t="s">
        <v>3398</v>
      </c>
      <c r="L57">
        <v>13.030200000000001</v>
      </c>
      <c r="M57">
        <v>14.478</v>
      </c>
      <c r="N57" t="s">
        <v>3347</v>
      </c>
      <c r="O57" t="s">
        <v>3399</v>
      </c>
      <c r="P57">
        <v>14.859</v>
      </c>
      <c r="Q57">
        <v>16.510000000000002</v>
      </c>
    </row>
    <row r="58" spans="2:17">
      <c r="B58">
        <v>9</v>
      </c>
      <c r="C58">
        <v>259.08</v>
      </c>
      <c r="D58">
        <v>257.55599999999998</v>
      </c>
      <c r="E58">
        <v>260.60399999999998</v>
      </c>
      <c r="F58" t="s">
        <v>3342</v>
      </c>
      <c r="G58" t="s">
        <v>3397</v>
      </c>
      <c r="H58">
        <v>11.176</v>
      </c>
      <c r="I58">
        <v>12.446</v>
      </c>
      <c r="J58" t="s">
        <v>3345</v>
      </c>
      <c r="K58" t="s">
        <v>3398</v>
      </c>
      <c r="L58">
        <v>13.715999999999999</v>
      </c>
      <c r="M58">
        <v>15.24</v>
      </c>
      <c r="N58" t="s">
        <v>3347</v>
      </c>
      <c r="O58" t="s">
        <v>3399</v>
      </c>
      <c r="P58">
        <v>15.773400000000001</v>
      </c>
      <c r="Q58">
        <v>17.526</v>
      </c>
    </row>
    <row r="59" spans="2:17">
      <c r="B59">
        <v>10</v>
      </c>
      <c r="C59">
        <v>286.00400000000002</v>
      </c>
      <c r="D59">
        <v>284.48</v>
      </c>
      <c r="E59">
        <v>287.52800000000002</v>
      </c>
      <c r="F59" t="s">
        <v>3342</v>
      </c>
      <c r="G59" t="s">
        <v>3397</v>
      </c>
      <c r="H59">
        <v>11.8872</v>
      </c>
      <c r="I59">
        <v>13.208</v>
      </c>
      <c r="J59" t="s">
        <v>3345</v>
      </c>
      <c r="K59" t="s">
        <v>3398</v>
      </c>
      <c r="L59">
        <v>14.4018</v>
      </c>
      <c r="M59">
        <v>16.001999999999999</v>
      </c>
      <c r="N59" t="s">
        <v>3347</v>
      </c>
      <c r="O59" t="s">
        <v>3399</v>
      </c>
      <c r="P59">
        <v>16.687799999999999</v>
      </c>
      <c r="Q59">
        <v>18.542000000000002</v>
      </c>
    </row>
    <row r="60" spans="2:17">
      <c r="B60">
        <v>12</v>
      </c>
      <c r="C60">
        <v>333.75599999999997</v>
      </c>
      <c r="D60">
        <v>332.23200000000003</v>
      </c>
      <c r="E60">
        <v>335.28</v>
      </c>
      <c r="F60" t="s">
        <v>3342</v>
      </c>
      <c r="G60" t="s">
        <v>3397</v>
      </c>
      <c r="H60">
        <v>13.030200000000001</v>
      </c>
      <c r="I60">
        <v>14.478</v>
      </c>
      <c r="J60" t="s">
        <v>3345</v>
      </c>
      <c r="K60" t="s">
        <v>3398</v>
      </c>
      <c r="L60">
        <v>15.773400000000001</v>
      </c>
      <c r="M60">
        <v>17.526</v>
      </c>
      <c r="N60" t="s">
        <v>3347</v>
      </c>
      <c r="O60" t="s">
        <v>3399</v>
      </c>
      <c r="P60">
        <v>18.288</v>
      </c>
      <c r="Q60">
        <v>20.32</v>
      </c>
    </row>
    <row r="61" spans="2:17">
      <c r="B61">
        <v>14</v>
      </c>
      <c r="C61">
        <v>386.58800000000002</v>
      </c>
      <c r="D61">
        <v>385.06400000000002</v>
      </c>
      <c r="E61">
        <v>388.11200000000002</v>
      </c>
      <c r="F61" t="s">
        <v>3342</v>
      </c>
      <c r="G61" t="s">
        <v>3397</v>
      </c>
      <c r="H61">
        <v>13.944599999999999</v>
      </c>
      <c r="I61">
        <v>15.494</v>
      </c>
      <c r="J61" t="s">
        <v>3345</v>
      </c>
      <c r="K61" t="s">
        <v>3398</v>
      </c>
      <c r="L61">
        <v>17.145</v>
      </c>
      <c r="M61">
        <v>19.05</v>
      </c>
      <c r="N61" t="s">
        <v>3347</v>
      </c>
      <c r="O61" t="s">
        <v>3399</v>
      </c>
      <c r="P61">
        <v>19.659600000000001</v>
      </c>
      <c r="Q61">
        <v>21.844000000000001</v>
      </c>
    </row>
    <row r="62" spans="2:17">
      <c r="B62">
        <v>15</v>
      </c>
      <c r="C62">
        <v>413.00400000000002</v>
      </c>
      <c r="D62">
        <v>411.48</v>
      </c>
      <c r="E62">
        <v>414.52800000000002</v>
      </c>
      <c r="F62" t="s">
        <v>3342</v>
      </c>
      <c r="G62" t="s">
        <v>3397</v>
      </c>
      <c r="H62">
        <v>14.4018</v>
      </c>
      <c r="I62">
        <v>16.001999999999999</v>
      </c>
      <c r="J62" t="s">
        <v>3345</v>
      </c>
      <c r="K62" t="s">
        <v>3398</v>
      </c>
      <c r="L62">
        <v>17.6022</v>
      </c>
      <c r="M62">
        <v>19.558</v>
      </c>
      <c r="N62" t="s">
        <v>3347</v>
      </c>
      <c r="O62" t="s">
        <v>3399</v>
      </c>
      <c r="P62">
        <v>20.345400000000001</v>
      </c>
      <c r="Q62">
        <v>22.606000000000002</v>
      </c>
    </row>
    <row r="63" spans="2:17">
      <c r="B63">
        <v>16</v>
      </c>
      <c r="C63">
        <v>439.42</v>
      </c>
      <c r="D63">
        <v>437.89600000000002</v>
      </c>
      <c r="E63">
        <v>440.94400000000002</v>
      </c>
      <c r="F63" t="s">
        <v>3342</v>
      </c>
      <c r="G63" t="s">
        <v>3397</v>
      </c>
      <c r="H63">
        <v>14.859</v>
      </c>
      <c r="I63">
        <v>16.510000000000002</v>
      </c>
      <c r="J63" t="s">
        <v>3345</v>
      </c>
      <c r="K63" t="s">
        <v>3398</v>
      </c>
      <c r="L63">
        <v>18.288</v>
      </c>
      <c r="M63">
        <v>20.32</v>
      </c>
      <c r="N63" t="s">
        <v>3347</v>
      </c>
      <c r="O63" t="s">
        <v>3399</v>
      </c>
      <c r="P63">
        <v>21.031199999999998</v>
      </c>
      <c r="Q63">
        <v>23.367999999999999</v>
      </c>
    </row>
    <row r="64" spans="2:17">
      <c r="B64">
        <v>18</v>
      </c>
      <c r="C64">
        <v>492.25200000000001</v>
      </c>
      <c r="D64">
        <v>490.72800000000001</v>
      </c>
      <c r="E64">
        <v>493.77600000000001</v>
      </c>
      <c r="F64" t="s">
        <v>3342</v>
      </c>
      <c r="G64" t="s">
        <v>3397</v>
      </c>
      <c r="H64">
        <v>15.773400000000001</v>
      </c>
      <c r="I64">
        <v>17.526</v>
      </c>
      <c r="J64" t="s">
        <v>3345</v>
      </c>
      <c r="K64" t="s">
        <v>3398</v>
      </c>
      <c r="L64">
        <v>19.431000000000001</v>
      </c>
      <c r="M64">
        <v>21.59</v>
      </c>
      <c r="N64" t="s">
        <v>3347</v>
      </c>
      <c r="O64" t="s">
        <v>3399</v>
      </c>
      <c r="P64">
        <v>22.402799999999999</v>
      </c>
      <c r="Q64">
        <v>24.891999999999999</v>
      </c>
    </row>
    <row r="65" spans="2:17">
      <c r="B65">
        <v>20</v>
      </c>
      <c r="C65">
        <v>545.08399999999995</v>
      </c>
      <c r="D65">
        <v>543.55999999999995</v>
      </c>
      <c r="E65">
        <v>546.60799999999995</v>
      </c>
      <c r="F65" t="s">
        <v>3342</v>
      </c>
      <c r="G65" t="s">
        <v>3397</v>
      </c>
      <c r="H65">
        <v>16.687799999999999</v>
      </c>
      <c r="I65">
        <v>18.542000000000002</v>
      </c>
      <c r="J65" t="s">
        <v>3345</v>
      </c>
      <c r="K65" t="s">
        <v>3398</v>
      </c>
      <c r="L65">
        <v>20.345400000000001</v>
      </c>
      <c r="M65">
        <v>22.606000000000002</v>
      </c>
      <c r="N65" t="s">
        <v>3347</v>
      </c>
      <c r="O65" t="s">
        <v>3399</v>
      </c>
      <c r="P65">
        <v>23.5458</v>
      </c>
      <c r="Q65">
        <v>26.161999999999999</v>
      </c>
    </row>
    <row r="66" spans="2:17">
      <c r="B66">
        <v>21</v>
      </c>
      <c r="C66">
        <v>571.5</v>
      </c>
      <c r="D66">
        <v>569.976</v>
      </c>
      <c r="E66">
        <v>573.024</v>
      </c>
      <c r="F66" t="s">
        <v>3342</v>
      </c>
      <c r="G66" t="s">
        <v>3397</v>
      </c>
      <c r="H66">
        <v>17.145</v>
      </c>
      <c r="I66">
        <v>19.05</v>
      </c>
      <c r="J66" t="s">
        <v>3345</v>
      </c>
      <c r="K66" t="s">
        <v>3398</v>
      </c>
      <c r="L66">
        <v>21.031199999999998</v>
      </c>
      <c r="M66">
        <v>23.367999999999999</v>
      </c>
      <c r="N66" t="s">
        <v>3347</v>
      </c>
      <c r="O66" t="s">
        <v>3399</v>
      </c>
      <c r="P66">
        <v>24.2316</v>
      </c>
      <c r="Q66">
        <v>26.923999999999999</v>
      </c>
    </row>
    <row r="67" spans="2:17">
      <c r="B67">
        <v>22</v>
      </c>
      <c r="C67">
        <v>597.91599999999994</v>
      </c>
      <c r="D67">
        <v>596.39199999999994</v>
      </c>
      <c r="E67">
        <v>599.44000000000005</v>
      </c>
      <c r="F67" t="s">
        <v>3342</v>
      </c>
      <c r="G67" t="s">
        <v>3397</v>
      </c>
      <c r="H67">
        <v>17.6022</v>
      </c>
      <c r="I67">
        <v>19.558</v>
      </c>
      <c r="J67" t="s">
        <v>3345</v>
      </c>
      <c r="K67" t="s">
        <v>3398</v>
      </c>
      <c r="L67">
        <v>21.488399999999999</v>
      </c>
      <c r="M67">
        <v>23.876000000000001</v>
      </c>
      <c r="N67" t="s">
        <v>3347</v>
      </c>
      <c r="O67" t="s">
        <v>3399</v>
      </c>
      <c r="P67">
        <v>24.688800000000001</v>
      </c>
      <c r="Q67">
        <v>27.431999999999999</v>
      </c>
    </row>
    <row r="68" spans="2:17">
      <c r="B68">
        <v>24</v>
      </c>
      <c r="C68">
        <v>650.24</v>
      </c>
      <c r="D68">
        <v>648.71600000000001</v>
      </c>
      <c r="E68">
        <v>651.76400000000001</v>
      </c>
      <c r="F68" t="s">
        <v>3342</v>
      </c>
      <c r="G68" t="s">
        <v>3397</v>
      </c>
      <c r="H68">
        <v>18.288</v>
      </c>
      <c r="I68">
        <v>20.32</v>
      </c>
      <c r="J68" t="s">
        <v>3345</v>
      </c>
      <c r="K68" t="s">
        <v>3398</v>
      </c>
      <c r="L68">
        <v>22.402799999999999</v>
      </c>
      <c r="M68">
        <v>24.891999999999999</v>
      </c>
      <c r="N68" t="s">
        <v>3347</v>
      </c>
      <c r="O68" t="s">
        <v>3399</v>
      </c>
      <c r="P68">
        <v>25.831799999999991</v>
      </c>
      <c r="Q68">
        <v>28.701999999999991</v>
      </c>
    </row>
    <row r="69" spans="2:17">
      <c r="B69">
        <v>26</v>
      </c>
      <c r="C69">
        <v>702.56399999999996</v>
      </c>
      <c r="D69">
        <v>701.04</v>
      </c>
      <c r="E69">
        <v>704.08799999999997</v>
      </c>
      <c r="F69" t="s">
        <v>3342</v>
      </c>
      <c r="G69" t="s">
        <v>3397</v>
      </c>
      <c r="H69">
        <v>18.973800000000001</v>
      </c>
      <c r="I69">
        <v>21.082000000000001</v>
      </c>
      <c r="J69" t="s">
        <v>3345</v>
      </c>
      <c r="K69" t="s">
        <v>3398</v>
      </c>
      <c r="L69">
        <v>23.3172</v>
      </c>
      <c r="M69">
        <v>25.908000000000001</v>
      </c>
      <c r="N69" t="s">
        <v>3347</v>
      </c>
      <c r="O69" t="s">
        <v>3399</v>
      </c>
      <c r="P69">
        <v>26.974799999999998</v>
      </c>
      <c r="Q69">
        <v>29.972000000000001</v>
      </c>
    </row>
    <row r="70" spans="2:17">
      <c r="B70">
        <v>27</v>
      </c>
      <c r="C70">
        <v>728.98</v>
      </c>
      <c r="D70">
        <v>727.4559999999999</v>
      </c>
      <c r="E70">
        <v>730.50399999999991</v>
      </c>
      <c r="F70" t="s">
        <v>3342</v>
      </c>
      <c r="G70" t="s">
        <v>3397</v>
      </c>
      <c r="H70">
        <v>19.431000000000001</v>
      </c>
      <c r="I70">
        <v>21.59</v>
      </c>
      <c r="J70" t="s">
        <v>3345</v>
      </c>
      <c r="K70" t="s">
        <v>3398</v>
      </c>
      <c r="L70">
        <v>23.7744</v>
      </c>
      <c r="M70">
        <v>26.416</v>
      </c>
      <c r="N70" t="s">
        <v>3347</v>
      </c>
      <c r="O70" t="s">
        <v>3399</v>
      </c>
      <c r="P70">
        <v>27.431999999999999</v>
      </c>
      <c r="Q70">
        <v>30.48</v>
      </c>
    </row>
    <row r="71" spans="2:17">
      <c r="B71">
        <v>28</v>
      </c>
      <c r="C71">
        <v>754.88799999999992</v>
      </c>
      <c r="D71">
        <v>753.36399999999992</v>
      </c>
      <c r="E71">
        <v>756.41199999999992</v>
      </c>
      <c r="F71" t="s">
        <v>3342</v>
      </c>
      <c r="G71" t="s">
        <v>3397</v>
      </c>
      <c r="H71">
        <v>19.659600000000001</v>
      </c>
      <c r="I71">
        <v>21.844000000000001</v>
      </c>
      <c r="J71" t="s">
        <v>3345</v>
      </c>
      <c r="K71" t="s">
        <v>3398</v>
      </c>
      <c r="L71">
        <v>24.2316</v>
      </c>
      <c r="M71">
        <v>26.923999999999999</v>
      </c>
      <c r="N71" t="s">
        <v>3347</v>
      </c>
      <c r="O71" t="s">
        <v>3399</v>
      </c>
      <c r="P71">
        <v>27.889199999999999</v>
      </c>
      <c r="Q71">
        <v>30.988</v>
      </c>
    </row>
    <row r="72" spans="2:17">
      <c r="B72">
        <v>30</v>
      </c>
      <c r="C72">
        <v>807.21199999999999</v>
      </c>
      <c r="D72">
        <v>805.68799999999999</v>
      </c>
      <c r="E72">
        <v>808.73599999999999</v>
      </c>
      <c r="F72" t="s">
        <v>3342</v>
      </c>
      <c r="G72" t="s">
        <v>3397</v>
      </c>
      <c r="H72">
        <v>20.345400000000001</v>
      </c>
      <c r="I72">
        <v>22.606000000000002</v>
      </c>
      <c r="J72" t="s">
        <v>3345</v>
      </c>
      <c r="K72" t="s">
        <v>3398</v>
      </c>
      <c r="L72">
        <v>24.917400000000001</v>
      </c>
      <c r="M72">
        <v>27.686</v>
      </c>
      <c r="N72" t="s">
        <v>3347</v>
      </c>
      <c r="O72" t="s">
        <v>3399</v>
      </c>
      <c r="P72">
        <v>28.803599999999999</v>
      </c>
      <c r="Q72">
        <v>32.003999999999998</v>
      </c>
    </row>
    <row r="73" spans="2:17">
      <c r="B73">
        <v>32</v>
      </c>
      <c r="C73">
        <v>859.53600000000006</v>
      </c>
      <c r="D73">
        <v>858.01200000000006</v>
      </c>
      <c r="E73">
        <v>861.06</v>
      </c>
      <c r="F73" t="s">
        <v>3342</v>
      </c>
      <c r="G73" t="s">
        <v>3397</v>
      </c>
      <c r="H73">
        <v>21.031199999999998</v>
      </c>
      <c r="I73">
        <v>23.367999999999999</v>
      </c>
      <c r="J73" t="s">
        <v>3345</v>
      </c>
      <c r="K73" t="s">
        <v>3398</v>
      </c>
      <c r="L73">
        <v>25.831799999999991</v>
      </c>
      <c r="M73">
        <v>28.701999999999991</v>
      </c>
      <c r="N73" t="s">
        <v>3347</v>
      </c>
      <c r="O73" t="s">
        <v>3399</v>
      </c>
      <c r="P73">
        <v>29.9466</v>
      </c>
      <c r="Q73">
        <v>33.274000000000001</v>
      </c>
    </row>
    <row r="74" spans="2:17">
      <c r="B74">
        <v>33</v>
      </c>
      <c r="C74">
        <v>885.952</v>
      </c>
      <c r="D74">
        <v>884.428</v>
      </c>
      <c r="E74">
        <v>887.476</v>
      </c>
      <c r="F74" t="s">
        <v>3342</v>
      </c>
      <c r="G74" t="s">
        <v>3397</v>
      </c>
      <c r="H74">
        <v>21.488399999999999</v>
      </c>
      <c r="I74">
        <v>23.876000000000001</v>
      </c>
      <c r="J74" t="s">
        <v>3345</v>
      </c>
      <c r="K74" t="s">
        <v>3398</v>
      </c>
      <c r="L74">
        <v>26.289000000000001</v>
      </c>
      <c r="M74">
        <v>29.21</v>
      </c>
      <c r="N74" t="s">
        <v>3347</v>
      </c>
      <c r="O74" t="s">
        <v>3399</v>
      </c>
      <c r="P74">
        <v>30.4038</v>
      </c>
      <c r="Q74">
        <v>33.781999999999996</v>
      </c>
    </row>
    <row r="75" spans="2:17">
      <c r="B75">
        <v>36</v>
      </c>
      <c r="C75">
        <v>964.18399999999997</v>
      </c>
      <c r="D75">
        <v>962.66</v>
      </c>
      <c r="E75">
        <v>965.70799999999997</v>
      </c>
      <c r="F75" t="s">
        <v>3342</v>
      </c>
      <c r="G75" t="s">
        <v>3397</v>
      </c>
      <c r="H75">
        <v>22.402799999999999</v>
      </c>
      <c r="I75">
        <v>24.891999999999999</v>
      </c>
      <c r="J75" t="s">
        <v>3345</v>
      </c>
      <c r="K75" t="s">
        <v>3398</v>
      </c>
      <c r="L75">
        <v>27.431999999999999</v>
      </c>
      <c r="M75">
        <v>30.48</v>
      </c>
      <c r="N75" t="s">
        <v>3347</v>
      </c>
      <c r="O75" t="s">
        <v>3399</v>
      </c>
      <c r="P75">
        <v>31.54679999999999</v>
      </c>
      <c r="Q75">
        <v>35.051999999999992</v>
      </c>
    </row>
    <row r="76" spans="2:17">
      <c r="B76">
        <v>38</v>
      </c>
      <c r="C76">
        <v>1016.508</v>
      </c>
      <c r="D76">
        <v>1014.984</v>
      </c>
      <c r="E76">
        <v>1018.032</v>
      </c>
      <c r="F76" t="s">
        <v>3342</v>
      </c>
      <c r="G76" t="s">
        <v>3397</v>
      </c>
      <c r="H76">
        <v>23.0886</v>
      </c>
      <c r="I76">
        <v>25.654</v>
      </c>
      <c r="J76" t="s">
        <v>3345</v>
      </c>
      <c r="K76" t="s">
        <v>3398</v>
      </c>
      <c r="L76">
        <v>28.117799999999999</v>
      </c>
      <c r="M76">
        <v>31.242000000000001</v>
      </c>
      <c r="N76" t="s">
        <v>3347</v>
      </c>
      <c r="O76" t="s">
        <v>3399</v>
      </c>
      <c r="P76">
        <v>32.461199999999998</v>
      </c>
      <c r="Q76">
        <v>36.067999999999998</v>
      </c>
    </row>
    <row r="77" spans="2:17">
      <c r="B77">
        <v>39</v>
      </c>
      <c r="C77">
        <v>1042.4159999999999</v>
      </c>
      <c r="D77">
        <v>1040.8920000000001</v>
      </c>
      <c r="E77">
        <v>1043.94</v>
      </c>
      <c r="F77" t="s">
        <v>3342</v>
      </c>
      <c r="G77" t="s">
        <v>3397</v>
      </c>
      <c r="H77">
        <v>23.3172</v>
      </c>
      <c r="I77">
        <v>25.908000000000001</v>
      </c>
      <c r="J77" t="s">
        <v>3345</v>
      </c>
      <c r="K77" t="s">
        <v>3398</v>
      </c>
      <c r="L77">
        <v>28.574999999999999</v>
      </c>
      <c r="M77">
        <v>31.75</v>
      </c>
      <c r="N77" t="s">
        <v>3347</v>
      </c>
      <c r="O77" t="s">
        <v>3399</v>
      </c>
      <c r="P77">
        <v>32.918399999999991</v>
      </c>
      <c r="Q77">
        <v>36.575999999999993</v>
      </c>
    </row>
    <row r="78" spans="2:17">
      <c r="B78">
        <v>40</v>
      </c>
      <c r="C78">
        <v>1068.3240000000001</v>
      </c>
      <c r="D78">
        <v>1066.8</v>
      </c>
      <c r="E78">
        <v>1069.848</v>
      </c>
      <c r="F78" t="s">
        <v>3342</v>
      </c>
      <c r="G78" t="s">
        <v>3397</v>
      </c>
      <c r="H78">
        <v>23.5458</v>
      </c>
      <c r="I78">
        <v>26.161999999999999</v>
      </c>
      <c r="J78" t="s">
        <v>3345</v>
      </c>
      <c r="K78" t="s">
        <v>3398</v>
      </c>
      <c r="L78">
        <v>28.803599999999999</v>
      </c>
      <c r="M78">
        <v>32.003999999999998</v>
      </c>
      <c r="N78" t="s">
        <v>3347</v>
      </c>
      <c r="O78" t="s">
        <v>3399</v>
      </c>
      <c r="P78">
        <v>33.375599999999999</v>
      </c>
      <c r="Q78">
        <v>37.084000000000003</v>
      </c>
    </row>
    <row r="79" spans="2:17">
      <c r="B79">
        <v>42</v>
      </c>
      <c r="C79">
        <v>1120.6479999999999</v>
      </c>
      <c r="D79">
        <v>1119.124</v>
      </c>
      <c r="E79">
        <v>1122.172</v>
      </c>
      <c r="F79" t="s">
        <v>3342</v>
      </c>
      <c r="G79" t="s">
        <v>3397</v>
      </c>
      <c r="H79">
        <v>24.2316</v>
      </c>
      <c r="I79">
        <v>26.923999999999999</v>
      </c>
      <c r="J79" t="s">
        <v>3345</v>
      </c>
      <c r="K79" t="s">
        <v>3398</v>
      </c>
      <c r="L79">
        <v>29.718</v>
      </c>
      <c r="M79">
        <v>33.020000000000003</v>
      </c>
      <c r="N79" t="s">
        <v>3347</v>
      </c>
      <c r="O79" t="s">
        <v>3399</v>
      </c>
      <c r="P79">
        <v>34.29</v>
      </c>
      <c r="Q79">
        <v>38.1</v>
      </c>
    </row>
    <row r="80" spans="2:17">
      <c r="B80">
        <v>44</v>
      </c>
      <c r="C80">
        <v>1172.4639999999999</v>
      </c>
      <c r="D80">
        <v>1170.94</v>
      </c>
      <c r="E80">
        <v>1173.9880000000001</v>
      </c>
      <c r="F80" t="s">
        <v>3342</v>
      </c>
      <c r="G80" t="s">
        <v>3397</v>
      </c>
      <c r="H80">
        <v>24.688800000000001</v>
      </c>
      <c r="I80">
        <v>27.431999999999999</v>
      </c>
      <c r="J80" t="s">
        <v>3345</v>
      </c>
      <c r="K80" t="s">
        <v>3398</v>
      </c>
      <c r="L80">
        <v>30.4038</v>
      </c>
      <c r="M80">
        <v>33.781999999999996</v>
      </c>
      <c r="N80" t="s">
        <v>3347</v>
      </c>
      <c r="O80" t="s">
        <v>3399</v>
      </c>
      <c r="P80">
        <v>34.9758</v>
      </c>
      <c r="Q80">
        <v>38.862000000000002</v>
      </c>
    </row>
    <row r="81" spans="1:17">
      <c r="B81">
        <v>45</v>
      </c>
      <c r="C81">
        <v>1198.3720000000001</v>
      </c>
      <c r="D81">
        <v>1196.848</v>
      </c>
      <c r="E81">
        <v>1199.896</v>
      </c>
      <c r="F81" t="s">
        <v>3342</v>
      </c>
      <c r="G81" t="s">
        <v>3397</v>
      </c>
      <c r="H81">
        <v>24.917400000000001</v>
      </c>
      <c r="I81">
        <v>27.686</v>
      </c>
      <c r="J81" t="s">
        <v>3345</v>
      </c>
      <c r="K81" t="s">
        <v>3398</v>
      </c>
      <c r="L81">
        <v>30.861000000000001</v>
      </c>
      <c r="M81">
        <v>34.29</v>
      </c>
      <c r="N81" t="s">
        <v>3347</v>
      </c>
      <c r="O81" t="s">
        <v>3399</v>
      </c>
      <c r="P81">
        <v>35.433</v>
      </c>
      <c r="Q81">
        <v>39.369999999999997</v>
      </c>
    </row>
    <row r="82" spans="1:17">
      <c r="B82">
        <v>46</v>
      </c>
      <c r="C82">
        <v>1224.788</v>
      </c>
      <c r="D82">
        <v>1223.2639999999999</v>
      </c>
      <c r="E82">
        <v>1226.3119999999999</v>
      </c>
      <c r="F82" t="s">
        <v>3342</v>
      </c>
      <c r="G82" t="s">
        <v>3397</v>
      </c>
      <c r="H82">
        <v>25.374600000000001</v>
      </c>
      <c r="I82">
        <v>28.193999999999999</v>
      </c>
      <c r="J82" t="s">
        <v>3345</v>
      </c>
      <c r="K82" t="s">
        <v>3398</v>
      </c>
      <c r="L82">
        <v>31.089600000000001</v>
      </c>
      <c r="M82">
        <v>34.543999999999997</v>
      </c>
      <c r="N82" t="s">
        <v>3347</v>
      </c>
      <c r="O82" t="s">
        <v>3399</v>
      </c>
      <c r="P82">
        <v>35.8902</v>
      </c>
      <c r="Q82">
        <v>39.878</v>
      </c>
    </row>
    <row r="83" spans="1:17">
      <c r="B83">
        <v>48</v>
      </c>
      <c r="C83">
        <v>1276.604</v>
      </c>
      <c r="D83">
        <v>1275.08</v>
      </c>
      <c r="E83">
        <v>1278.1279999999999</v>
      </c>
      <c r="F83" t="s">
        <v>3342</v>
      </c>
      <c r="G83" t="s">
        <v>3397</v>
      </c>
      <c r="H83">
        <v>25.831799999999991</v>
      </c>
      <c r="I83">
        <v>28.701999999999991</v>
      </c>
      <c r="J83" t="s">
        <v>3345</v>
      </c>
      <c r="K83" t="s">
        <v>3398</v>
      </c>
      <c r="L83">
        <v>31.54679999999999</v>
      </c>
      <c r="M83">
        <v>35.051999999999992</v>
      </c>
      <c r="N83" t="s">
        <v>3347</v>
      </c>
      <c r="O83" t="s">
        <v>3399</v>
      </c>
      <c r="P83">
        <v>36.576000000000001</v>
      </c>
      <c r="Q83">
        <v>40.64</v>
      </c>
    </row>
    <row r="85" spans="1:17">
      <c r="A85" t="s">
        <v>5</v>
      </c>
      <c r="B85" t="s">
        <v>3379</v>
      </c>
    </row>
    <row r="86" spans="1:17">
      <c r="C86" t="s">
        <v>3380</v>
      </c>
      <c r="E86" t="s">
        <v>3381</v>
      </c>
      <c r="G86" t="s">
        <v>3382</v>
      </c>
    </row>
    <row r="87" spans="1:17">
      <c r="B87" t="s">
        <v>3383</v>
      </c>
      <c r="C87" t="s">
        <v>3384</v>
      </c>
      <c r="D87" t="s">
        <v>3385</v>
      </c>
      <c r="E87" t="s">
        <v>3384</v>
      </c>
      <c r="F87" t="s">
        <v>3385</v>
      </c>
      <c r="G87" t="s">
        <v>3384</v>
      </c>
      <c r="H87" t="s">
        <v>3385</v>
      </c>
    </row>
    <row r="88" spans="1:17">
      <c r="B88">
        <v>3</v>
      </c>
      <c r="C88">
        <v>0.38</v>
      </c>
      <c r="D88">
        <v>3.76</v>
      </c>
      <c r="E88">
        <v>0.38</v>
      </c>
      <c r="F88">
        <v>3.76</v>
      </c>
      <c r="G88">
        <v>0.4</v>
      </c>
      <c r="H88">
        <v>3.76</v>
      </c>
    </row>
    <row r="89" spans="1:17">
      <c r="B89">
        <v>4</v>
      </c>
      <c r="C89">
        <v>0.39</v>
      </c>
      <c r="D89">
        <v>4.8</v>
      </c>
      <c r="E89">
        <v>0.4</v>
      </c>
      <c r="F89">
        <v>4.8</v>
      </c>
      <c r="G89">
        <v>0.46</v>
      </c>
      <c r="H89">
        <v>4.8</v>
      </c>
    </row>
    <row r="90" spans="1:17">
      <c r="B90">
        <v>5</v>
      </c>
      <c r="C90">
        <v>0.41</v>
      </c>
      <c r="D90">
        <v>5.9</v>
      </c>
      <c r="E90">
        <v>0.45</v>
      </c>
      <c r="F90">
        <v>5.9</v>
      </c>
      <c r="G90">
        <v>0.52</v>
      </c>
      <c r="H90">
        <v>5.9</v>
      </c>
    </row>
    <row r="91" spans="1:17">
      <c r="B91">
        <v>6</v>
      </c>
      <c r="C91">
        <v>0.43</v>
      </c>
      <c r="D91">
        <v>6.98</v>
      </c>
      <c r="E91">
        <v>0.49</v>
      </c>
      <c r="F91">
        <v>6.98</v>
      </c>
      <c r="G91">
        <v>0.56999999999999995</v>
      </c>
      <c r="H91">
        <v>6.98</v>
      </c>
    </row>
    <row r="92" spans="1:17">
      <c r="B92">
        <v>7</v>
      </c>
      <c r="C92">
        <v>0.45</v>
      </c>
      <c r="D92">
        <v>8.06</v>
      </c>
      <c r="E92">
        <v>0.53</v>
      </c>
      <c r="F92">
        <v>8.06</v>
      </c>
      <c r="G92">
        <v>0.61</v>
      </c>
      <c r="H92">
        <v>8.06</v>
      </c>
    </row>
    <row r="93" spans="1:17">
      <c r="B93">
        <v>8</v>
      </c>
      <c r="C93">
        <v>0.47</v>
      </c>
      <c r="D93">
        <v>9.14</v>
      </c>
      <c r="E93">
        <v>0.56999999999999995</v>
      </c>
      <c r="F93">
        <v>9.14</v>
      </c>
      <c r="G93">
        <v>0.65</v>
      </c>
      <c r="H93">
        <v>9.14</v>
      </c>
    </row>
    <row r="94" spans="1:17">
      <c r="B94">
        <v>9</v>
      </c>
      <c r="C94">
        <v>0.49</v>
      </c>
      <c r="D94">
        <v>10.199999999999999</v>
      </c>
      <c r="E94">
        <v>0.6</v>
      </c>
      <c r="F94">
        <v>10.199999999999999</v>
      </c>
      <c r="G94">
        <v>0.69</v>
      </c>
      <c r="H94">
        <v>10.199999999999999</v>
      </c>
    </row>
    <row r="95" spans="1:17">
      <c r="B95">
        <v>10</v>
      </c>
      <c r="C95">
        <v>0.52</v>
      </c>
      <c r="D95">
        <v>11.26</v>
      </c>
      <c r="E95">
        <v>0.63</v>
      </c>
      <c r="F95">
        <v>11.26</v>
      </c>
      <c r="G95">
        <v>0.73</v>
      </c>
      <c r="H95">
        <v>11.26</v>
      </c>
    </row>
    <row r="96" spans="1:17">
      <c r="B96">
        <v>12</v>
      </c>
      <c r="C96">
        <v>0.56999999999999995</v>
      </c>
      <c r="D96">
        <v>13.14</v>
      </c>
      <c r="E96">
        <v>0.69</v>
      </c>
      <c r="F96">
        <v>13.6</v>
      </c>
      <c r="G96">
        <v>0.8</v>
      </c>
      <c r="H96">
        <v>13.6</v>
      </c>
    </row>
    <row r="97" spans="2:8">
      <c r="B97">
        <v>14</v>
      </c>
      <c r="C97">
        <v>0.61</v>
      </c>
      <c r="D97">
        <v>15.22</v>
      </c>
      <c r="E97">
        <v>0.75</v>
      </c>
      <c r="F97">
        <v>15.72</v>
      </c>
      <c r="G97">
        <v>0.86</v>
      </c>
      <c r="H97">
        <v>15.72</v>
      </c>
    </row>
    <row r="98" spans="2:8">
      <c r="B98">
        <v>15</v>
      </c>
      <c r="C98">
        <v>0.63</v>
      </c>
      <c r="D98">
        <v>16.260000000000002</v>
      </c>
      <c r="E98">
        <v>0.77</v>
      </c>
      <c r="F98">
        <v>16.78</v>
      </c>
      <c r="G98">
        <v>0.89</v>
      </c>
      <c r="H98">
        <v>16.78</v>
      </c>
    </row>
    <row r="99" spans="2:8">
      <c r="B99">
        <v>16</v>
      </c>
      <c r="C99">
        <v>0.65</v>
      </c>
      <c r="D99">
        <v>17.3</v>
      </c>
      <c r="E99">
        <v>0.8</v>
      </c>
      <c r="F99">
        <v>17.84</v>
      </c>
      <c r="G99">
        <v>0.92</v>
      </c>
      <c r="H99">
        <v>17.84</v>
      </c>
    </row>
    <row r="100" spans="2:8">
      <c r="B100">
        <v>18</v>
      </c>
      <c r="C100">
        <v>0.69</v>
      </c>
      <c r="D100">
        <v>19.38</v>
      </c>
      <c r="E100">
        <v>0.85</v>
      </c>
      <c r="F100">
        <v>19.96</v>
      </c>
      <c r="G100">
        <v>0.98</v>
      </c>
      <c r="H100">
        <v>19.96</v>
      </c>
    </row>
    <row r="101" spans="2:8">
      <c r="B101">
        <v>20</v>
      </c>
      <c r="C101">
        <v>0.73</v>
      </c>
      <c r="D101">
        <v>21.46</v>
      </c>
      <c r="E101">
        <v>0.89</v>
      </c>
      <c r="F101">
        <v>22.06</v>
      </c>
      <c r="G101">
        <v>1.03</v>
      </c>
      <c r="H101">
        <v>22.06</v>
      </c>
    </row>
    <row r="102" spans="2:8">
      <c r="B102">
        <v>21</v>
      </c>
      <c r="C102">
        <v>0.75</v>
      </c>
      <c r="D102">
        <v>22.5</v>
      </c>
      <c r="E102">
        <v>0.92</v>
      </c>
      <c r="F102">
        <v>23.12</v>
      </c>
      <c r="G102">
        <v>1.06</v>
      </c>
      <c r="H102">
        <v>23.12</v>
      </c>
    </row>
    <row r="103" spans="2:8">
      <c r="B103">
        <v>22</v>
      </c>
      <c r="C103">
        <v>0.77</v>
      </c>
      <c r="D103">
        <v>23.54</v>
      </c>
      <c r="E103">
        <v>0.94</v>
      </c>
      <c r="F103">
        <v>24.16</v>
      </c>
      <c r="G103">
        <v>1.08</v>
      </c>
      <c r="H103">
        <v>24.16</v>
      </c>
    </row>
    <row r="104" spans="2:8">
      <c r="B104">
        <v>24</v>
      </c>
      <c r="C104">
        <v>0.8</v>
      </c>
      <c r="D104">
        <v>25.6</v>
      </c>
      <c r="E104">
        <v>0.98</v>
      </c>
      <c r="F104">
        <v>26.26</v>
      </c>
      <c r="G104">
        <v>1.1299999999999999</v>
      </c>
      <c r="H104">
        <v>26.26</v>
      </c>
    </row>
    <row r="105" spans="2:8">
      <c r="B105">
        <v>26</v>
      </c>
      <c r="C105">
        <v>0.83</v>
      </c>
      <c r="D105">
        <v>27.66</v>
      </c>
      <c r="E105">
        <v>1.02</v>
      </c>
      <c r="F105">
        <v>28.36</v>
      </c>
      <c r="G105">
        <v>1.18</v>
      </c>
      <c r="H105">
        <v>28.36</v>
      </c>
    </row>
    <row r="106" spans="2:8">
      <c r="B106">
        <v>27</v>
      </c>
      <c r="C106">
        <v>0.85</v>
      </c>
      <c r="D106">
        <v>28.7</v>
      </c>
      <c r="E106">
        <v>1.04</v>
      </c>
      <c r="F106">
        <v>29.4</v>
      </c>
      <c r="G106">
        <v>1.2</v>
      </c>
      <c r="H106">
        <v>29.4</v>
      </c>
    </row>
    <row r="107" spans="2:8">
      <c r="B107">
        <v>28</v>
      </c>
      <c r="C107">
        <v>0.86</v>
      </c>
      <c r="D107">
        <v>29.72</v>
      </c>
      <c r="E107">
        <v>1.06</v>
      </c>
      <c r="F107">
        <v>30.44</v>
      </c>
      <c r="G107">
        <v>1.22</v>
      </c>
      <c r="H107">
        <v>30.44</v>
      </c>
    </row>
    <row r="108" spans="2:8">
      <c r="B108">
        <v>30</v>
      </c>
      <c r="C108">
        <v>0.89</v>
      </c>
      <c r="D108">
        <v>31.78</v>
      </c>
      <c r="E108">
        <v>1.0900000000000001</v>
      </c>
      <c r="F108">
        <v>32.520000000000003</v>
      </c>
      <c r="G108">
        <v>1.26</v>
      </c>
      <c r="H108">
        <v>32.520000000000003</v>
      </c>
    </row>
    <row r="109" spans="2:8">
      <c r="B109">
        <v>32</v>
      </c>
      <c r="C109">
        <v>0.92</v>
      </c>
      <c r="D109">
        <v>33.840000000000003</v>
      </c>
      <c r="E109">
        <v>1.1299999999999999</v>
      </c>
      <c r="F109">
        <v>34.619999999999997</v>
      </c>
      <c r="G109">
        <v>1.31</v>
      </c>
      <c r="H109">
        <v>34.619999999999997</v>
      </c>
    </row>
    <row r="110" spans="2:8">
      <c r="B110">
        <v>33</v>
      </c>
      <c r="C110">
        <v>0.94</v>
      </c>
      <c r="D110">
        <v>34.880000000000003</v>
      </c>
      <c r="E110">
        <v>1.1499999999999999</v>
      </c>
      <c r="F110">
        <v>35.659999999999997</v>
      </c>
      <c r="G110">
        <v>1.33</v>
      </c>
      <c r="H110">
        <v>35.659999999999997</v>
      </c>
    </row>
    <row r="111" spans="2:8">
      <c r="B111">
        <v>36</v>
      </c>
      <c r="C111">
        <v>0.98</v>
      </c>
      <c r="D111">
        <v>37.96</v>
      </c>
      <c r="E111">
        <v>1.2</v>
      </c>
      <c r="F111">
        <v>38.76</v>
      </c>
      <c r="G111">
        <v>1.38</v>
      </c>
      <c r="H111">
        <v>38.76</v>
      </c>
    </row>
    <row r="112" spans="2:8">
      <c r="B112">
        <v>38</v>
      </c>
      <c r="C112">
        <v>1.01</v>
      </c>
      <c r="D112">
        <v>40.020000000000003</v>
      </c>
      <c r="E112">
        <v>1.23</v>
      </c>
      <c r="F112">
        <v>40.840000000000003</v>
      </c>
      <c r="G112">
        <v>1.42</v>
      </c>
      <c r="H112">
        <v>40.840000000000003</v>
      </c>
    </row>
    <row r="113" spans="1:17">
      <c r="B113">
        <v>39</v>
      </c>
      <c r="C113">
        <v>1.02</v>
      </c>
      <c r="D113">
        <v>4.1040000000000001</v>
      </c>
      <c r="E113">
        <v>1.25</v>
      </c>
      <c r="F113">
        <v>41.88</v>
      </c>
      <c r="G113">
        <v>1.44</v>
      </c>
      <c r="H113">
        <v>41.88</v>
      </c>
    </row>
    <row r="114" spans="1:17">
      <c r="B114">
        <v>40</v>
      </c>
      <c r="C114">
        <v>1.03</v>
      </c>
      <c r="D114">
        <v>42.06</v>
      </c>
      <c r="E114">
        <v>1.26</v>
      </c>
      <c r="F114">
        <v>42.92</v>
      </c>
      <c r="G114">
        <v>1.46</v>
      </c>
      <c r="H114">
        <v>42.92</v>
      </c>
    </row>
    <row r="115" spans="1:17">
      <c r="B115">
        <v>42</v>
      </c>
      <c r="C115">
        <v>1.06</v>
      </c>
      <c r="D115">
        <v>44.12</v>
      </c>
      <c r="E115">
        <v>1.3</v>
      </c>
      <c r="F115">
        <v>45</v>
      </c>
      <c r="G115">
        <v>1.5</v>
      </c>
      <c r="H115">
        <v>45</v>
      </c>
    </row>
    <row r="116" spans="1:17">
      <c r="B116">
        <v>44</v>
      </c>
      <c r="C116">
        <v>1.08</v>
      </c>
      <c r="D116">
        <v>46.16</v>
      </c>
      <c r="E116">
        <v>1.33</v>
      </c>
      <c r="F116">
        <v>47.06</v>
      </c>
      <c r="G116">
        <v>1.53</v>
      </c>
      <c r="H116">
        <v>4.0599999999999996</v>
      </c>
    </row>
    <row r="117" spans="1:17">
      <c r="B117">
        <v>45</v>
      </c>
      <c r="C117">
        <v>1.0900000000000001</v>
      </c>
      <c r="D117">
        <v>47.18</v>
      </c>
      <c r="E117">
        <v>1.35</v>
      </c>
      <c r="F117">
        <v>48.1</v>
      </c>
      <c r="G117">
        <v>1.55</v>
      </c>
      <c r="H117">
        <v>48.1</v>
      </c>
    </row>
    <row r="118" spans="1:17">
      <c r="B118">
        <v>46</v>
      </c>
      <c r="C118">
        <v>1.1000000000000001</v>
      </c>
      <c r="D118">
        <v>48.22</v>
      </c>
      <c r="E118">
        <v>1.36</v>
      </c>
      <c r="F118">
        <v>49.14</v>
      </c>
      <c r="G118">
        <v>1.57</v>
      </c>
      <c r="H118">
        <v>49.14</v>
      </c>
    </row>
    <row r="119" spans="1:17">
      <c r="B119">
        <v>48</v>
      </c>
      <c r="C119">
        <v>1.1299999999999999</v>
      </c>
      <c r="D119">
        <v>50.26</v>
      </c>
      <c r="E119">
        <v>1.38</v>
      </c>
      <c r="F119">
        <v>51.2</v>
      </c>
      <c r="G119">
        <v>1.6</v>
      </c>
      <c r="H119">
        <v>51.2</v>
      </c>
    </row>
    <row r="121" spans="1:17">
      <c r="A121" t="s">
        <v>3400</v>
      </c>
    </row>
    <row r="123" spans="1:17">
      <c r="B123" t="s">
        <v>3401</v>
      </c>
    </row>
    <row r="124" spans="1:17">
      <c r="F124" t="s">
        <v>3402</v>
      </c>
      <c r="J124" t="s">
        <v>3403</v>
      </c>
      <c r="N124" t="s">
        <v>3404</v>
      </c>
    </row>
    <row r="125" spans="1:17">
      <c r="B125" t="s">
        <v>3391</v>
      </c>
      <c r="C125" t="s">
        <v>3392</v>
      </c>
      <c r="D125" t="s">
        <v>3393</v>
      </c>
      <c r="E125" t="s">
        <v>3394</v>
      </c>
      <c r="H125" t="s">
        <v>3395</v>
      </c>
      <c r="I125" t="s">
        <v>3396</v>
      </c>
      <c r="L125" t="s">
        <v>3395</v>
      </c>
      <c r="M125" t="s">
        <v>3396</v>
      </c>
      <c r="P125" t="s">
        <v>3395</v>
      </c>
      <c r="Q125" t="s">
        <v>3396</v>
      </c>
    </row>
    <row r="126" spans="1:17">
      <c r="B126">
        <v>3</v>
      </c>
      <c r="C126">
        <v>95.503999999999991</v>
      </c>
      <c r="D126">
        <v>93.471999999999994</v>
      </c>
      <c r="E126">
        <v>97.535999999999987</v>
      </c>
      <c r="F126" t="s">
        <v>3342</v>
      </c>
      <c r="G126" t="s">
        <v>3405</v>
      </c>
      <c r="H126">
        <v>8.4454999999999991</v>
      </c>
      <c r="I126">
        <v>9.6519999999999992</v>
      </c>
      <c r="J126" t="s">
        <v>3345</v>
      </c>
      <c r="K126" t="s">
        <v>3406</v>
      </c>
      <c r="L126">
        <v>8.4454999999999991</v>
      </c>
      <c r="M126">
        <v>9.6519999999999992</v>
      </c>
      <c r="N126" t="s">
        <v>3347</v>
      </c>
      <c r="O126" t="s">
        <v>3407</v>
      </c>
      <c r="P126">
        <v>10.16</v>
      </c>
      <c r="Q126">
        <v>8.89</v>
      </c>
    </row>
    <row r="127" spans="1:17">
      <c r="B127">
        <v>4</v>
      </c>
      <c r="C127">
        <v>121.92</v>
      </c>
      <c r="D127">
        <v>119.88800000000001</v>
      </c>
      <c r="E127">
        <v>123.952</v>
      </c>
      <c r="F127" t="s">
        <v>3342</v>
      </c>
      <c r="G127" t="s">
        <v>3405</v>
      </c>
      <c r="H127">
        <v>8.6677499999999998</v>
      </c>
      <c r="I127">
        <v>9.9060000000000006</v>
      </c>
      <c r="J127" t="s">
        <v>3345</v>
      </c>
      <c r="K127" t="s">
        <v>3406</v>
      </c>
      <c r="L127">
        <v>8.89</v>
      </c>
      <c r="M127">
        <v>10.16</v>
      </c>
      <c r="N127" t="s">
        <v>3347</v>
      </c>
      <c r="O127" t="s">
        <v>3408</v>
      </c>
      <c r="P127">
        <v>11.683999999999999</v>
      </c>
      <c r="Q127">
        <v>10.2235</v>
      </c>
    </row>
    <row r="128" spans="1:17">
      <c r="B128">
        <v>5</v>
      </c>
      <c r="C128">
        <v>149.86000000000001</v>
      </c>
      <c r="D128">
        <v>147.828</v>
      </c>
      <c r="E128">
        <v>151.892</v>
      </c>
      <c r="F128" t="s">
        <v>3342</v>
      </c>
      <c r="G128" t="s">
        <v>3405</v>
      </c>
      <c r="H128">
        <v>9.1122499999999977</v>
      </c>
      <c r="I128">
        <v>10.414</v>
      </c>
      <c r="J128" t="s">
        <v>3345</v>
      </c>
      <c r="K128" t="s">
        <v>3406</v>
      </c>
      <c r="L128">
        <v>10.001250000000001</v>
      </c>
      <c r="M128">
        <v>11.43</v>
      </c>
      <c r="N128" t="s">
        <v>3347</v>
      </c>
      <c r="O128" t="s">
        <v>3409</v>
      </c>
      <c r="P128">
        <v>13.208</v>
      </c>
      <c r="Q128">
        <v>11.557</v>
      </c>
    </row>
    <row r="129" spans="2:17">
      <c r="B129">
        <v>6</v>
      </c>
      <c r="C129">
        <v>177.292</v>
      </c>
      <c r="D129">
        <v>175.26</v>
      </c>
      <c r="E129">
        <v>179.32400000000001</v>
      </c>
      <c r="F129" t="s">
        <v>3342</v>
      </c>
      <c r="G129" t="s">
        <v>3405</v>
      </c>
      <c r="H129">
        <v>9.5567499999999992</v>
      </c>
      <c r="I129">
        <v>10.922000000000001</v>
      </c>
      <c r="J129" t="s">
        <v>3345</v>
      </c>
      <c r="K129" t="s">
        <v>3406</v>
      </c>
      <c r="L129">
        <v>10.89025</v>
      </c>
      <c r="M129">
        <v>12.446</v>
      </c>
      <c r="N129" t="s">
        <v>3347</v>
      </c>
      <c r="O129" t="s">
        <v>3410</v>
      </c>
      <c r="P129">
        <v>14.478</v>
      </c>
      <c r="Q129">
        <v>12.66825</v>
      </c>
    </row>
    <row r="130" spans="2:17">
      <c r="B130">
        <v>7</v>
      </c>
      <c r="C130">
        <v>204.72399999999999</v>
      </c>
      <c r="D130">
        <v>202.69200000000001</v>
      </c>
      <c r="E130">
        <v>206.756</v>
      </c>
      <c r="F130" t="s">
        <v>3342</v>
      </c>
      <c r="G130" t="s">
        <v>3405</v>
      </c>
      <c r="H130">
        <v>10.001250000000001</v>
      </c>
      <c r="I130">
        <v>11.43</v>
      </c>
      <c r="J130" t="s">
        <v>3345</v>
      </c>
      <c r="K130" t="s">
        <v>3406</v>
      </c>
      <c r="L130">
        <v>11.779249999999999</v>
      </c>
      <c r="M130">
        <v>13.462</v>
      </c>
      <c r="N130" t="s">
        <v>3347</v>
      </c>
      <c r="O130" t="s">
        <v>3411</v>
      </c>
      <c r="P130">
        <v>15.494</v>
      </c>
      <c r="Q130">
        <v>13.55725</v>
      </c>
    </row>
    <row r="131" spans="2:17">
      <c r="B131">
        <v>8</v>
      </c>
      <c r="C131">
        <v>232.15600000000001</v>
      </c>
      <c r="D131">
        <v>230.124</v>
      </c>
      <c r="E131">
        <v>234.18799999999999</v>
      </c>
      <c r="F131" t="s">
        <v>3342</v>
      </c>
      <c r="G131" t="s">
        <v>3405</v>
      </c>
      <c r="H131">
        <v>10.44575</v>
      </c>
      <c r="I131">
        <v>11.938000000000001</v>
      </c>
      <c r="J131" t="s">
        <v>3345</v>
      </c>
      <c r="K131" t="s">
        <v>3406</v>
      </c>
      <c r="L131">
        <v>12.66825</v>
      </c>
      <c r="M131">
        <v>14.478</v>
      </c>
      <c r="N131" t="s">
        <v>3347</v>
      </c>
      <c r="O131" t="s">
        <v>3412</v>
      </c>
      <c r="P131">
        <v>16.510000000000002</v>
      </c>
      <c r="Q131">
        <v>14.446249999999999</v>
      </c>
    </row>
    <row r="132" spans="2:17">
      <c r="B132">
        <v>9</v>
      </c>
      <c r="C132">
        <v>259.08</v>
      </c>
      <c r="D132">
        <v>257.048</v>
      </c>
      <c r="E132">
        <v>261.11200000000002</v>
      </c>
      <c r="F132" t="s">
        <v>3342</v>
      </c>
      <c r="G132" t="s">
        <v>3405</v>
      </c>
      <c r="H132">
        <v>10.89025</v>
      </c>
      <c r="I132">
        <v>12.446</v>
      </c>
      <c r="J132" t="s">
        <v>3345</v>
      </c>
      <c r="K132" t="s">
        <v>3406</v>
      </c>
      <c r="L132">
        <v>13.335000000000001</v>
      </c>
      <c r="M132">
        <v>15.24</v>
      </c>
      <c r="N132" t="s">
        <v>3347</v>
      </c>
      <c r="O132" t="s">
        <v>3413</v>
      </c>
      <c r="P132">
        <v>17.526</v>
      </c>
      <c r="Q132">
        <v>15.33525</v>
      </c>
    </row>
    <row r="133" spans="2:17">
      <c r="B133">
        <v>10</v>
      </c>
      <c r="C133">
        <v>286.00400000000002</v>
      </c>
      <c r="D133">
        <v>283.97199999999998</v>
      </c>
      <c r="E133">
        <v>288.03599999999989</v>
      </c>
      <c r="F133" t="s">
        <v>3342</v>
      </c>
      <c r="G133" t="s">
        <v>3405</v>
      </c>
      <c r="H133">
        <v>11.557</v>
      </c>
      <c r="I133">
        <v>13.208</v>
      </c>
      <c r="J133" t="s">
        <v>3345</v>
      </c>
      <c r="K133" t="s">
        <v>3406</v>
      </c>
      <c r="L133">
        <v>14.001749999999999</v>
      </c>
      <c r="M133">
        <v>16.001999999999999</v>
      </c>
      <c r="N133" t="s">
        <v>3347</v>
      </c>
      <c r="O133" t="s">
        <v>3414</v>
      </c>
      <c r="P133">
        <v>18.542000000000002</v>
      </c>
      <c r="Q133">
        <v>16.224250000000001</v>
      </c>
    </row>
    <row r="134" spans="2:17">
      <c r="B134">
        <v>12</v>
      </c>
      <c r="C134">
        <v>333.75599999999997</v>
      </c>
      <c r="D134">
        <v>331.72399999999999</v>
      </c>
      <c r="E134">
        <v>335.78800000000001</v>
      </c>
      <c r="F134" t="s">
        <v>3342</v>
      </c>
      <c r="G134" t="s">
        <v>3405</v>
      </c>
      <c r="H134">
        <v>12.66825</v>
      </c>
      <c r="I134">
        <v>14.478</v>
      </c>
      <c r="J134" t="s">
        <v>3345</v>
      </c>
      <c r="K134" t="s">
        <v>3406</v>
      </c>
      <c r="L134">
        <v>15.33525</v>
      </c>
      <c r="M134">
        <v>17.526</v>
      </c>
      <c r="N134" t="s">
        <v>3347</v>
      </c>
      <c r="O134" t="s">
        <v>3415</v>
      </c>
      <c r="P134">
        <v>20.32</v>
      </c>
      <c r="Q134">
        <v>17.78</v>
      </c>
    </row>
    <row r="135" spans="2:17">
      <c r="B135">
        <v>14</v>
      </c>
      <c r="C135">
        <v>386.58800000000002</v>
      </c>
      <c r="D135">
        <v>384.55599999999998</v>
      </c>
      <c r="E135">
        <v>388.62</v>
      </c>
      <c r="F135" t="s">
        <v>3342</v>
      </c>
      <c r="G135" t="s">
        <v>3405</v>
      </c>
      <c r="H135">
        <v>13.55725</v>
      </c>
      <c r="I135">
        <v>15.494</v>
      </c>
      <c r="J135" t="s">
        <v>3345</v>
      </c>
      <c r="K135" t="s">
        <v>3406</v>
      </c>
      <c r="L135">
        <v>16.668749999999999</v>
      </c>
      <c r="M135">
        <v>19.05</v>
      </c>
      <c r="N135" t="s">
        <v>3347</v>
      </c>
      <c r="O135" t="s">
        <v>3416</v>
      </c>
      <c r="P135">
        <v>21.844000000000001</v>
      </c>
      <c r="Q135">
        <v>19.113499999999998</v>
      </c>
    </row>
    <row r="136" spans="2:17">
      <c r="B136">
        <v>15</v>
      </c>
      <c r="C136">
        <v>413.00400000000002</v>
      </c>
      <c r="D136">
        <v>410.97199999999998</v>
      </c>
      <c r="E136">
        <v>415.036</v>
      </c>
      <c r="F136" t="s">
        <v>3342</v>
      </c>
      <c r="G136" t="s">
        <v>3405</v>
      </c>
      <c r="H136">
        <v>14.001749999999999</v>
      </c>
      <c r="I136">
        <v>16.001999999999999</v>
      </c>
      <c r="J136" t="s">
        <v>3345</v>
      </c>
      <c r="K136" t="s">
        <v>3406</v>
      </c>
      <c r="L136">
        <v>17.113250000000001</v>
      </c>
      <c r="M136">
        <v>19.558</v>
      </c>
      <c r="N136" t="s">
        <v>3347</v>
      </c>
      <c r="O136" t="s">
        <v>3417</v>
      </c>
      <c r="P136">
        <v>22.606000000000002</v>
      </c>
      <c r="Q136">
        <v>19.780249999999999</v>
      </c>
    </row>
    <row r="137" spans="2:17">
      <c r="B137">
        <v>16</v>
      </c>
      <c r="C137">
        <v>439.42</v>
      </c>
      <c r="D137">
        <v>437.38799999999998</v>
      </c>
      <c r="E137">
        <v>441.452</v>
      </c>
      <c r="F137" t="s">
        <v>3342</v>
      </c>
      <c r="G137" t="s">
        <v>3405</v>
      </c>
      <c r="H137">
        <v>14.446249999999999</v>
      </c>
      <c r="I137">
        <v>16.510000000000002</v>
      </c>
      <c r="J137" t="s">
        <v>3345</v>
      </c>
      <c r="K137" t="s">
        <v>3406</v>
      </c>
      <c r="L137">
        <v>17.78</v>
      </c>
      <c r="M137">
        <v>20.32</v>
      </c>
      <c r="N137" t="s">
        <v>3347</v>
      </c>
      <c r="O137" t="s">
        <v>3418</v>
      </c>
      <c r="P137">
        <v>23.367999999999999</v>
      </c>
      <c r="Q137">
        <v>20.446999999999999</v>
      </c>
    </row>
    <row r="138" spans="2:17">
      <c r="B138">
        <v>18</v>
      </c>
      <c r="C138">
        <v>492.25200000000001</v>
      </c>
      <c r="D138">
        <v>490.22</v>
      </c>
      <c r="E138">
        <v>494.28399999999988</v>
      </c>
      <c r="F138" t="s">
        <v>3342</v>
      </c>
      <c r="G138" t="s">
        <v>3405</v>
      </c>
      <c r="H138">
        <v>15.33525</v>
      </c>
      <c r="I138">
        <v>17.526</v>
      </c>
      <c r="J138" t="s">
        <v>3345</v>
      </c>
      <c r="K138" t="s">
        <v>3406</v>
      </c>
      <c r="L138">
        <v>18.891249999999999</v>
      </c>
      <c r="M138">
        <v>21.59</v>
      </c>
      <c r="N138" t="s">
        <v>3347</v>
      </c>
      <c r="O138" t="s">
        <v>3419</v>
      </c>
      <c r="P138">
        <v>24.891999999999999</v>
      </c>
      <c r="Q138">
        <v>21.7805</v>
      </c>
    </row>
    <row r="139" spans="2:17">
      <c r="B139">
        <v>20</v>
      </c>
      <c r="C139">
        <v>545.08399999999995</v>
      </c>
      <c r="D139">
        <v>543.05199999999991</v>
      </c>
      <c r="E139">
        <v>547.11599999999999</v>
      </c>
      <c r="F139" t="s">
        <v>3342</v>
      </c>
      <c r="G139" t="s">
        <v>3405</v>
      </c>
      <c r="H139">
        <v>16.224250000000001</v>
      </c>
      <c r="I139">
        <v>18.542000000000002</v>
      </c>
      <c r="J139" t="s">
        <v>3345</v>
      </c>
      <c r="K139" t="s">
        <v>3406</v>
      </c>
      <c r="L139">
        <v>19.780249999999999</v>
      </c>
      <c r="M139">
        <v>22.606000000000002</v>
      </c>
      <c r="N139" t="s">
        <v>3347</v>
      </c>
      <c r="O139" t="s">
        <v>3420</v>
      </c>
      <c r="P139">
        <v>26.161999999999999</v>
      </c>
      <c r="Q139">
        <v>22.891749999999998</v>
      </c>
    </row>
    <row r="140" spans="2:17">
      <c r="B140">
        <v>21</v>
      </c>
      <c r="C140">
        <v>571.5</v>
      </c>
      <c r="D140">
        <v>569.46799999999996</v>
      </c>
      <c r="E140">
        <v>573.53200000000004</v>
      </c>
      <c r="F140" t="s">
        <v>3342</v>
      </c>
      <c r="G140" t="s">
        <v>3405</v>
      </c>
      <c r="H140">
        <v>16.668749999999999</v>
      </c>
      <c r="I140">
        <v>19.05</v>
      </c>
      <c r="J140" t="s">
        <v>3345</v>
      </c>
      <c r="K140" t="s">
        <v>3406</v>
      </c>
      <c r="L140">
        <v>20.446999999999999</v>
      </c>
      <c r="M140">
        <v>23.367999999999999</v>
      </c>
      <c r="N140" t="s">
        <v>3347</v>
      </c>
      <c r="O140" t="s">
        <v>3421</v>
      </c>
      <c r="P140">
        <v>26.923999999999999</v>
      </c>
      <c r="Q140">
        <v>23.558499999999999</v>
      </c>
    </row>
    <row r="141" spans="2:17">
      <c r="B141">
        <v>24</v>
      </c>
      <c r="C141">
        <v>650.24</v>
      </c>
      <c r="D141">
        <v>648.20799999999997</v>
      </c>
      <c r="E141">
        <v>652.27200000000005</v>
      </c>
      <c r="F141" t="s">
        <v>3342</v>
      </c>
      <c r="G141" t="s">
        <v>3405</v>
      </c>
      <c r="H141">
        <v>17.78</v>
      </c>
      <c r="I141">
        <v>20.32</v>
      </c>
      <c r="J141" t="s">
        <v>3345</v>
      </c>
      <c r="K141" t="s">
        <v>3406</v>
      </c>
      <c r="L141">
        <v>21.7805</v>
      </c>
      <c r="M141">
        <v>24.891999999999999</v>
      </c>
      <c r="N141" t="s">
        <v>3347</v>
      </c>
      <c r="O141" t="s">
        <v>3422</v>
      </c>
      <c r="P141">
        <v>28.701999999999991</v>
      </c>
      <c r="Q141">
        <v>25.114249999999991</v>
      </c>
    </row>
    <row r="142" spans="2:17">
      <c r="B142">
        <v>27</v>
      </c>
      <c r="C142">
        <v>728.98</v>
      </c>
      <c r="D142">
        <v>726.94799999999987</v>
      </c>
      <c r="E142">
        <v>731.01199999999994</v>
      </c>
      <c r="F142" t="s">
        <v>3342</v>
      </c>
      <c r="G142" t="s">
        <v>3405</v>
      </c>
      <c r="H142">
        <v>18.891249999999999</v>
      </c>
      <c r="I142">
        <v>21.59</v>
      </c>
      <c r="J142" t="s">
        <v>3345</v>
      </c>
      <c r="K142" t="s">
        <v>3406</v>
      </c>
      <c r="L142">
        <v>23.114000000000001</v>
      </c>
      <c r="M142">
        <v>26.416</v>
      </c>
      <c r="N142" t="s">
        <v>3347</v>
      </c>
      <c r="O142" t="s">
        <v>3423</v>
      </c>
      <c r="P142">
        <v>30.48</v>
      </c>
      <c r="Q142">
        <v>26.67</v>
      </c>
    </row>
    <row r="143" spans="2:17">
      <c r="B143">
        <v>30</v>
      </c>
      <c r="C143">
        <v>807.21199999999999</v>
      </c>
      <c r="D143">
        <v>805.18</v>
      </c>
      <c r="E143">
        <v>809.24400000000003</v>
      </c>
      <c r="F143" t="s">
        <v>3342</v>
      </c>
      <c r="G143" t="s">
        <v>3405</v>
      </c>
      <c r="H143">
        <v>19.780249999999999</v>
      </c>
      <c r="I143">
        <v>22.606000000000002</v>
      </c>
      <c r="J143" t="s">
        <v>3345</v>
      </c>
      <c r="K143" t="s">
        <v>3406</v>
      </c>
      <c r="L143">
        <v>24.225249999999999</v>
      </c>
      <c r="M143">
        <v>27.686</v>
      </c>
      <c r="N143" t="s">
        <v>3347</v>
      </c>
      <c r="O143" t="s">
        <v>3424</v>
      </c>
      <c r="P143">
        <v>32.003999999999998</v>
      </c>
      <c r="Q143">
        <v>28.003499999999999</v>
      </c>
    </row>
    <row r="144" spans="2:17">
      <c r="B144">
        <v>33</v>
      </c>
      <c r="C144">
        <v>885.952</v>
      </c>
      <c r="D144">
        <v>883.92</v>
      </c>
      <c r="E144">
        <v>887.98400000000004</v>
      </c>
      <c r="F144" t="s">
        <v>3342</v>
      </c>
      <c r="G144" t="s">
        <v>3405</v>
      </c>
      <c r="H144">
        <v>20.891500000000001</v>
      </c>
      <c r="I144">
        <v>23.876000000000001</v>
      </c>
      <c r="J144" t="s">
        <v>3345</v>
      </c>
      <c r="K144" t="s">
        <v>3406</v>
      </c>
      <c r="L144">
        <v>25.55875</v>
      </c>
      <c r="M144">
        <v>29.21</v>
      </c>
      <c r="N144" t="s">
        <v>3347</v>
      </c>
      <c r="O144" t="s">
        <v>3425</v>
      </c>
      <c r="P144">
        <v>33.781999999999996</v>
      </c>
      <c r="Q144">
        <v>29.559249999999999</v>
      </c>
    </row>
    <row r="145" spans="1:17">
      <c r="B145">
        <v>36</v>
      </c>
      <c r="C145">
        <v>964.18399999999997</v>
      </c>
      <c r="D145">
        <v>962.15199999999993</v>
      </c>
      <c r="E145">
        <v>966.21600000000001</v>
      </c>
      <c r="F145" t="s">
        <v>3342</v>
      </c>
      <c r="G145" t="s">
        <v>3405</v>
      </c>
      <c r="H145">
        <v>21.7805</v>
      </c>
      <c r="I145">
        <v>24.891999999999999</v>
      </c>
      <c r="J145" t="s">
        <v>3345</v>
      </c>
      <c r="K145" t="s">
        <v>3406</v>
      </c>
      <c r="L145">
        <v>26.67</v>
      </c>
      <c r="M145">
        <v>30.48</v>
      </c>
      <c r="N145" t="s">
        <v>3347</v>
      </c>
      <c r="O145" t="s">
        <v>3426</v>
      </c>
      <c r="P145">
        <v>35.051999999999992</v>
      </c>
      <c r="Q145">
        <v>30.67049999999999</v>
      </c>
    </row>
    <row r="146" spans="1:17">
      <c r="B146">
        <v>40</v>
      </c>
      <c r="C146">
        <v>1068.3240000000001</v>
      </c>
      <c r="D146">
        <v>1066.2919999999999</v>
      </c>
      <c r="E146">
        <v>1070.356</v>
      </c>
      <c r="F146" t="s">
        <v>3342</v>
      </c>
      <c r="G146" t="s">
        <v>3405</v>
      </c>
      <c r="H146">
        <v>22.891749999999998</v>
      </c>
      <c r="I146">
        <v>26.161999999999999</v>
      </c>
      <c r="J146" t="s">
        <v>3345</v>
      </c>
      <c r="K146" t="s">
        <v>3406</v>
      </c>
      <c r="L146">
        <v>28.003499999999999</v>
      </c>
      <c r="M146">
        <v>32.003999999999998</v>
      </c>
      <c r="N146" t="s">
        <v>3347</v>
      </c>
      <c r="O146" t="s">
        <v>3427</v>
      </c>
      <c r="P146">
        <v>37.084000000000003</v>
      </c>
      <c r="Q146">
        <v>32.448500000000003</v>
      </c>
    </row>
    <row r="147" spans="1:17">
      <c r="B147">
        <v>42</v>
      </c>
      <c r="C147">
        <v>1120.6479999999999</v>
      </c>
      <c r="D147">
        <v>1118.616</v>
      </c>
      <c r="E147">
        <v>1122.68</v>
      </c>
      <c r="F147" t="s">
        <v>3342</v>
      </c>
      <c r="G147" t="s">
        <v>3405</v>
      </c>
      <c r="H147">
        <v>23.558499999999999</v>
      </c>
      <c r="I147">
        <v>26.923999999999999</v>
      </c>
      <c r="J147" t="s">
        <v>3345</v>
      </c>
      <c r="K147" t="s">
        <v>3406</v>
      </c>
      <c r="L147">
        <v>28.892499999999998</v>
      </c>
      <c r="M147">
        <v>33.020000000000003</v>
      </c>
      <c r="N147" t="s">
        <v>3347</v>
      </c>
      <c r="O147" t="s">
        <v>3428</v>
      </c>
      <c r="P147">
        <v>38.1</v>
      </c>
      <c r="Q147">
        <v>33.337499999999999</v>
      </c>
    </row>
    <row r="148" spans="1:17">
      <c r="B148">
        <v>45</v>
      </c>
      <c r="C148">
        <v>1198.3720000000001</v>
      </c>
      <c r="D148">
        <v>1196.3399999999999</v>
      </c>
      <c r="E148">
        <v>1200.404</v>
      </c>
      <c r="F148" t="s">
        <v>3342</v>
      </c>
      <c r="G148" t="s">
        <v>3405</v>
      </c>
      <c r="H148">
        <v>24.225249999999999</v>
      </c>
      <c r="I148">
        <v>27.686</v>
      </c>
      <c r="J148" t="s">
        <v>3345</v>
      </c>
      <c r="K148" t="s">
        <v>3406</v>
      </c>
      <c r="L148">
        <v>30.00375</v>
      </c>
      <c r="M148">
        <v>34.29</v>
      </c>
      <c r="N148" t="s">
        <v>3347</v>
      </c>
      <c r="O148" t="s">
        <v>3429</v>
      </c>
      <c r="P148">
        <v>39.369999999999997</v>
      </c>
      <c r="Q148">
        <v>34.448749999999997</v>
      </c>
    </row>
    <row r="149" spans="1:17">
      <c r="B149">
        <v>48</v>
      </c>
      <c r="C149">
        <v>1276.604</v>
      </c>
      <c r="D149">
        <v>1274.5719999999999</v>
      </c>
      <c r="E149">
        <v>1278.636</v>
      </c>
      <c r="F149" t="s">
        <v>3342</v>
      </c>
      <c r="G149" t="s">
        <v>3405</v>
      </c>
      <c r="H149">
        <v>25.114249999999991</v>
      </c>
      <c r="I149">
        <v>28.701999999999991</v>
      </c>
      <c r="J149" t="s">
        <v>3345</v>
      </c>
      <c r="K149" t="s">
        <v>3406</v>
      </c>
      <c r="L149">
        <v>30.67049999999999</v>
      </c>
      <c r="M149">
        <v>35.051999999999992</v>
      </c>
      <c r="N149" t="s">
        <v>3347</v>
      </c>
      <c r="O149" t="s">
        <v>3430</v>
      </c>
      <c r="P149">
        <v>40.64</v>
      </c>
      <c r="Q149">
        <v>35.56</v>
      </c>
    </row>
    <row r="152" spans="1:17">
      <c r="A152" t="s">
        <v>3431</v>
      </c>
      <c r="B152" t="s">
        <v>3432</v>
      </c>
      <c r="C152">
        <v>1.5</v>
      </c>
      <c r="D152" t="s">
        <v>3433</v>
      </c>
      <c r="E152" t="s">
        <v>3342</v>
      </c>
      <c r="F152" t="s">
        <v>3434</v>
      </c>
      <c r="G152">
        <v>1917</v>
      </c>
      <c r="H152">
        <v>1961</v>
      </c>
      <c r="I152">
        <v>2.2000000000000002</v>
      </c>
      <c r="J152">
        <v>1.5</v>
      </c>
      <c r="K152">
        <v>0.35</v>
      </c>
      <c r="L152" t="s">
        <v>3435</v>
      </c>
    </row>
    <row r="153" spans="1:17">
      <c r="A153" t="s">
        <v>3431</v>
      </c>
      <c r="B153" t="s">
        <v>3432</v>
      </c>
      <c r="C153">
        <v>2</v>
      </c>
      <c r="D153" t="s">
        <v>3433</v>
      </c>
      <c r="E153" t="s">
        <v>3342</v>
      </c>
      <c r="F153" t="s">
        <v>3434</v>
      </c>
      <c r="G153">
        <v>1917</v>
      </c>
      <c r="H153">
        <v>1961</v>
      </c>
      <c r="I153">
        <v>2.72</v>
      </c>
      <c r="J153">
        <v>2</v>
      </c>
      <c r="K153">
        <v>0.36</v>
      </c>
      <c r="L153" t="s">
        <v>3435</v>
      </c>
    </row>
    <row r="154" spans="1:17">
      <c r="A154" t="s">
        <v>3431</v>
      </c>
      <c r="B154" t="s">
        <v>3432</v>
      </c>
      <c r="C154">
        <v>2.5</v>
      </c>
      <c r="D154" t="s">
        <v>3433</v>
      </c>
      <c r="E154" t="s">
        <v>3342</v>
      </c>
      <c r="F154" t="s">
        <v>3434</v>
      </c>
      <c r="G154">
        <v>1917</v>
      </c>
      <c r="H154">
        <v>1961</v>
      </c>
      <c r="I154">
        <v>3.24</v>
      </c>
      <c r="J154">
        <v>2.5</v>
      </c>
      <c r="K154">
        <v>0.37</v>
      </c>
      <c r="L154" t="s">
        <v>3435</v>
      </c>
    </row>
    <row r="155" spans="1:17">
      <c r="A155" t="s">
        <v>3431</v>
      </c>
      <c r="B155" t="s">
        <v>3432</v>
      </c>
      <c r="C155">
        <v>3</v>
      </c>
      <c r="D155" t="s">
        <v>3433</v>
      </c>
      <c r="E155" t="s">
        <v>3342</v>
      </c>
      <c r="F155" t="s">
        <v>3434</v>
      </c>
      <c r="G155">
        <v>1917</v>
      </c>
      <c r="H155">
        <v>1961</v>
      </c>
      <c r="I155">
        <v>3.76</v>
      </c>
      <c r="J155">
        <v>3</v>
      </c>
      <c r="K155">
        <v>0.38</v>
      </c>
      <c r="L155" t="s">
        <v>3435</v>
      </c>
    </row>
    <row r="156" spans="1:17">
      <c r="A156" t="s">
        <v>3431</v>
      </c>
      <c r="B156" t="s">
        <v>3432</v>
      </c>
      <c r="C156">
        <v>4</v>
      </c>
      <c r="D156" t="s">
        <v>3433</v>
      </c>
      <c r="E156" t="s">
        <v>3342</v>
      </c>
      <c r="F156" t="s">
        <v>3434</v>
      </c>
      <c r="G156">
        <v>1917</v>
      </c>
      <c r="H156">
        <v>1961</v>
      </c>
      <c r="I156">
        <v>4.8</v>
      </c>
      <c r="J156">
        <v>4.0199999999999996</v>
      </c>
      <c r="K156">
        <v>0.39</v>
      </c>
      <c r="L156" t="s">
        <v>3435</v>
      </c>
    </row>
    <row r="157" spans="1:17">
      <c r="A157" t="s">
        <v>3431</v>
      </c>
      <c r="B157" t="s">
        <v>3432</v>
      </c>
      <c r="C157">
        <v>5</v>
      </c>
      <c r="D157" t="s">
        <v>3433</v>
      </c>
      <c r="E157" t="s">
        <v>3342</v>
      </c>
      <c r="F157" t="s">
        <v>3434</v>
      </c>
      <c r="G157">
        <v>1917</v>
      </c>
      <c r="H157">
        <v>1961</v>
      </c>
      <c r="I157">
        <v>5.9</v>
      </c>
      <c r="J157">
        <v>5.08</v>
      </c>
      <c r="K157">
        <v>0.41</v>
      </c>
      <c r="L157" t="s">
        <v>3435</v>
      </c>
    </row>
    <row r="158" spans="1:17">
      <c r="A158" t="s">
        <v>3431</v>
      </c>
      <c r="B158" t="s">
        <v>3432</v>
      </c>
      <c r="C158">
        <v>6</v>
      </c>
      <c r="D158" t="s">
        <v>3433</v>
      </c>
      <c r="E158" t="s">
        <v>3342</v>
      </c>
      <c r="F158" t="s">
        <v>3434</v>
      </c>
      <c r="G158">
        <v>1917</v>
      </c>
      <c r="H158">
        <v>1961</v>
      </c>
      <c r="I158">
        <v>6.98</v>
      </c>
      <c r="J158">
        <v>6.12</v>
      </c>
      <c r="K158">
        <v>0.43</v>
      </c>
      <c r="L158" t="s">
        <v>3435</v>
      </c>
    </row>
    <row r="159" spans="1:17">
      <c r="A159" t="s">
        <v>3431</v>
      </c>
      <c r="B159" t="s">
        <v>3432</v>
      </c>
      <c r="C159">
        <v>7</v>
      </c>
      <c r="D159" t="s">
        <v>3433</v>
      </c>
      <c r="E159" t="s">
        <v>3342</v>
      </c>
      <c r="F159" t="s">
        <v>3434</v>
      </c>
      <c r="G159">
        <v>1917</v>
      </c>
      <c r="H159">
        <v>1961</v>
      </c>
      <c r="I159">
        <v>8.06</v>
      </c>
      <c r="J159">
        <v>7.16</v>
      </c>
      <c r="K159">
        <v>0.45</v>
      </c>
      <c r="L159" t="s">
        <v>3435</v>
      </c>
    </row>
    <row r="160" spans="1:17">
      <c r="A160" t="s">
        <v>3431</v>
      </c>
      <c r="B160" t="s">
        <v>3432</v>
      </c>
      <c r="C160">
        <v>8</v>
      </c>
      <c r="D160" t="s">
        <v>3433</v>
      </c>
      <c r="E160" t="s">
        <v>3342</v>
      </c>
      <c r="F160" t="s">
        <v>3434</v>
      </c>
      <c r="G160">
        <v>1917</v>
      </c>
      <c r="H160">
        <v>1961</v>
      </c>
      <c r="I160">
        <v>9.14</v>
      </c>
      <c r="J160">
        <v>8.1999999999999993</v>
      </c>
      <c r="K160">
        <v>0.47</v>
      </c>
      <c r="L160" t="s">
        <v>3435</v>
      </c>
    </row>
    <row r="161" spans="1:12">
      <c r="A161" t="s">
        <v>3431</v>
      </c>
      <c r="B161" t="s">
        <v>3432</v>
      </c>
      <c r="C161">
        <v>9</v>
      </c>
      <c r="D161" t="s">
        <v>3433</v>
      </c>
      <c r="E161" t="s">
        <v>3342</v>
      </c>
      <c r="F161" t="s">
        <v>3434</v>
      </c>
      <c r="G161">
        <v>1917</v>
      </c>
      <c r="H161">
        <v>1961</v>
      </c>
      <c r="I161">
        <v>10.199999999999999</v>
      </c>
      <c r="J161">
        <v>9.2200000000000006</v>
      </c>
      <c r="K161">
        <v>0.49</v>
      </c>
      <c r="L161" t="s">
        <v>3435</v>
      </c>
    </row>
    <row r="162" spans="1:12">
      <c r="A162" t="s">
        <v>3431</v>
      </c>
      <c r="B162" t="s">
        <v>3432</v>
      </c>
      <c r="C162">
        <v>10</v>
      </c>
      <c r="D162" t="s">
        <v>3433</v>
      </c>
      <c r="E162" t="s">
        <v>3342</v>
      </c>
      <c r="F162" t="s">
        <v>3434</v>
      </c>
      <c r="G162">
        <v>1917</v>
      </c>
      <c r="H162">
        <v>1961</v>
      </c>
      <c r="I162">
        <v>11.26</v>
      </c>
      <c r="J162">
        <v>10.220000000000001</v>
      </c>
      <c r="K162">
        <v>0.52</v>
      </c>
      <c r="L162" t="s">
        <v>3435</v>
      </c>
    </row>
    <row r="163" spans="1:12">
      <c r="A163" t="s">
        <v>3431</v>
      </c>
      <c r="B163" t="s">
        <v>3432</v>
      </c>
      <c r="C163">
        <v>12</v>
      </c>
      <c r="D163" t="s">
        <v>3433</v>
      </c>
      <c r="E163" t="s">
        <v>3342</v>
      </c>
      <c r="F163" t="s">
        <v>3434</v>
      </c>
      <c r="G163">
        <v>1917</v>
      </c>
      <c r="H163">
        <v>1961</v>
      </c>
      <c r="I163">
        <v>13.14</v>
      </c>
      <c r="J163">
        <v>12</v>
      </c>
      <c r="K163">
        <v>0.56999999999999995</v>
      </c>
      <c r="L163" t="s">
        <v>3435</v>
      </c>
    </row>
    <row r="164" spans="1:12">
      <c r="A164" t="s">
        <v>3431</v>
      </c>
      <c r="B164" t="s">
        <v>3432</v>
      </c>
      <c r="C164">
        <v>14</v>
      </c>
      <c r="D164" t="s">
        <v>3433</v>
      </c>
      <c r="E164" t="s">
        <v>3342</v>
      </c>
      <c r="F164" t="s">
        <v>3434</v>
      </c>
      <c r="G164">
        <v>1917</v>
      </c>
      <c r="H164">
        <v>1961</v>
      </c>
      <c r="I164">
        <v>15.22</v>
      </c>
      <c r="J164">
        <v>14</v>
      </c>
      <c r="K164">
        <v>0.61</v>
      </c>
      <c r="L164" t="s">
        <v>3435</v>
      </c>
    </row>
    <row r="165" spans="1:12">
      <c r="A165" t="s">
        <v>3431</v>
      </c>
      <c r="B165" t="s">
        <v>3432</v>
      </c>
      <c r="C165">
        <v>15</v>
      </c>
      <c r="D165" t="s">
        <v>3433</v>
      </c>
      <c r="E165" t="s">
        <v>3342</v>
      </c>
      <c r="F165" t="s">
        <v>3434</v>
      </c>
      <c r="G165">
        <v>1917</v>
      </c>
      <c r="H165">
        <v>1961</v>
      </c>
      <c r="I165">
        <v>16.260000000000002</v>
      </c>
      <c r="J165">
        <v>15</v>
      </c>
      <c r="K165">
        <v>0.63</v>
      </c>
      <c r="L165" t="s">
        <v>3435</v>
      </c>
    </row>
    <row r="166" spans="1:12">
      <c r="A166" t="s">
        <v>3431</v>
      </c>
      <c r="B166" t="s">
        <v>3432</v>
      </c>
      <c r="C166">
        <v>16</v>
      </c>
      <c r="D166" t="s">
        <v>3433</v>
      </c>
      <c r="E166" t="s">
        <v>3342</v>
      </c>
      <c r="F166" t="s">
        <v>3434</v>
      </c>
      <c r="G166">
        <v>1917</v>
      </c>
      <c r="H166">
        <v>1961</v>
      </c>
      <c r="I166">
        <v>17.3</v>
      </c>
      <c r="J166">
        <v>16</v>
      </c>
      <c r="K166">
        <v>0.65</v>
      </c>
      <c r="L166" t="s">
        <v>3435</v>
      </c>
    </row>
    <row r="167" spans="1:12">
      <c r="A167" t="s">
        <v>3431</v>
      </c>
      <c r="B167" t="s">
        <v>3432</v>
      </c>
      <c r="C167">
        <v>18</v>
      </c>
      <c r="D167" t="s">
        <v>3433</v>
      </c>
      <c r="E167" t="s">
        <v>3342</v>
      </c>
      <c r="F167" t="s">
        <v>3434</v>
      </c>
      <c r="G167">
        <v>1917</v>
      </c>
      <c r="H167">
        <v>1961</v>
      </c>
      <c r="I167">
        <v>19.38</v>
      </c>
      <c r="J167">
        <v>18</v>
      </c>
      <c r="K167">
        <v>0.69</v>
      </c>
      <c r="L167" t="s">
        <v>3435</v>
      </c>
    </row>
    <row r="168" spans="1:12">
      <c r="A168" t="s">
        <v>3431</v>
      </c>
      <c r="B168" t="s">
        <v>3432</v>
      </c>
      <c r="C168">
        <v>20</v>
      </c>
      <c r="D168" t="s">
        <v>3433</v>
      </c>
      <c r="E168" t="s">
        <v>3342</v>
      </c>
      <c r="F168" t="s">
        <v>3434</v>
      </c>
      <c r="G168">
        <v>1917</v>
      </c>
      <c r="H168">
        <v>1961</v>
      </c>
      <c r="I168">
        <v>21.46</v>
      </c>
      <c r="J168">
        <v>20</v>
      </c>
      <c r="K168">
        <v>0.73</v>
      </c>
      <c r="L168" t="s">
        <v>3435</v>
      </c>
    </row>
    <row r="169" spans="1:12">
      <c r="A169" t="s">
        <v>3431</v>
      </c>
      <c r="B169" t="s">
        <v>3432</v>
      </c>
      <c r="C169">
        <v>21</v>
      </c>
      <c r="D169" t="s">
        <v>3433</v>
      </c>
      <c r="E169" t="s">
        <v>3342</v>
      </c>
      <c r="F169" t="s">
        <v>3434</v>
      </c>
      <c r="G169">
        <v>1917</v>
      </c>
      <c r="H169">
        <v>1961</v>
      </c>
      <c r="I169">
        <v>22.5</v>
      </c>
      <c r="J169">
        <v>21</v>
      </c>
      <c r="K169">
        <v>0.75</v>
      </c>
      <c r="L169" t="s">
        <v>3435</v>
      </c>
    </row>
    <row r="170" spans="1:12">
      <c r="A170" t="s">
        <v>3431</v>
      </c>
      <c r="B170" t="s">
        <v>3432</v>
      </c>
      <c r="C170">
        <v>22</v>
      </c>
      <c r="D170" t="s">
        <v>3433</v>
      </c>
      <c r="E170" t="s">
        <v>3342</v>
      </c>
      <c r="F170" t="s">
        <v>3434</v>
      </c>
      <c r="G170">
        <v>1917</v>
      </c>
      <c r="H170">
        <v>1961</v>
      </c>
      <c r="I170">
        <v>23.54</v>
      </c>
      <c r="J170">
        <v>22</v>
      </c>
      <c r="K170">
        <v>0.77</v>
      </c>
      <c r="L170" t="s">
        <v>3435</v>
      </c>
    </row>
    <row r="171" spans="1:12">
      <c r="A171" t="s">
        <v>3431</v>
      </c>
      <c r="B171" t="s">
        <v>3432</v>
      </c>
      <c r="C171">
        <v>24</v>
      </c>
      <c r="D171" t="s">
        <v>3433</v>
      </c>
      <c r="E171" t="s">
        <v>3342</v>
      </c>
      <c r="F171" t="s">
        <v>3434</v>
      </c>
      <c r="G171">
        <v>1917</v>
      </c>
      <c r="H171">
        <v>1961</v>
      </c>
      <c r="I171">
        <v>25.6</v>
      </c>
      <c r="J171">
        <v>24</v>
      </c>
      <c r="K171">
        <v>0.8</v>
      </c>
      <c r="L171" t="s">
        <v>3435</v>
      </c>
    </row>
    <row r="172" spans="1:12">
      <c r="A172" t="s">
        <v>3431</v>
      </c>
      <c r="B172" t="s">
        <v>3432</v>
      </c>
      <c r="C172">
        <v>26</v>
      </c>
      <c r="D172" t="s">
        <v>3433</v>
      </c>
      <c r="E172" t="s">
        <v>3342</v>
      </c>
      <c r="F172" t="s">
        <v>3434</v>
      </c>
      <c r="G172">
        <v>1917</v>
      </c>
      <c r="H172">
        <v>1961</v>
      </c>
      <c r="I172">
        <v>27.66</v>
      </c>
      <c r="J172">
        <v>26</v>
      </c>
      <c r="K172">
        <v>0.83</v>
      </c>
      <c r="L172" t="s">
        <v>3435</v>
      </c>
    </row>
    <row r="173" spans="1:12">
      <c r="A173" t="s">
        <v>3431</v>
      </c>
      <c r="B173" t="s">
        <v>3432</v>
      </c>
      <c r="C173">
        <v>27</v>
      </c>
      <c r="D173" t="s">
        <v>3433</v>
      </c>
      <c r="E173" t="s">
        <v>3342</v>
      </c>
      <c r="F173" t="s">
        <v>3434</v>
      </c>
      <c r="G173">
        <v>1917</v>
      </c>
      <c r="H173">
        <v>1961</v>
      </c>
      <c r="I173">
        <v>28.7</v>
      </c>
      <c r="J173">
        <v>27</v>
      </c>
      <c r="K173">
        <v>0.85</v>
      </c>
      <c r="L173" t="s">
        <v>3435</v>
      </c>
    </row>
    <row r="174" spans="1:12">
      <c r="A174" t="s">
        <v>3431</v>
      </c>
      <c r="B174" t="s">
        <v>3432</v>
      </c>
      <c r="C174">
        <v>28</v>
      </c>
      <c r="D174" t="s">
        <v>3433</v>
      </c>
      <c r="E174" t="s">
        <v>3342</v>
      </c>
      <c r="F174" t="s">
        <v>3434</v>
      </c>
      <c r="G174">
        <v>1917</v>
      </c>
      <c r="H174">
        <v>1961</v>
      </c>
      <c r="I174">
        <v>29.72</v>
      </c>
      <c r="J174">
        <v>28</v>
      </c>
      <c r="K174">
        <v>0.86</v>
      </c>
      <c r="L174" t="s">
        <v>3435</v>
      </c>
    </row>
    <row r="175" spans="1:12">
      <c r="A175" t="s">
        <v>3431</v>
      </c>
      <c r="B175" t="s">
        <v>3432</v>
      </c>
      <c r="C175">
        <v>30</v>
      </c>
      <c r="D175" t="s">
        <v>3433</v>
      </c>
      <c r="E175" t="s">
        <v>3342</v>
      </c>
      <c r="F175" t="s">
        <v>3434</v>
      </c>
      <c r="G175">
        <v>1917</v>
      </c>
      <c r="H175">
        <v>1961</v>
      </c>
      <c r="I175">
        <v>31.78</v>
      </c>
      <c r="J175">
        <v>30</v>
      </c>
      <c r="K175">
        <v>0.89</v>
      </c>
      <c r="L175" t="s">
        <v>3435</v>
      </c>
    </row>
    <row r="176" spans="1:12">
      <c r="A176" t="s">
        <v>3431</v>
      </c>
      <c r="B176" t="s">
        <v>3432</v>
      </c>
      <c r="C176">
        <v>32</v>
      </c>
      <c r="D176" t="s">
        <v>3433</v>
      </c>
      <c r="E176" t="s">
        <v>3342</v>
      </c>
      <c r="F176" t="s">
        <v>3434</v>
      </c>
      <c r="G176">
        <v>1917</v>
      </c>
      <c r="H176">
        <v>1961</v>
      </c>
      <c r="I176">
        <v>33.840000000000003</v>
      </c>
      <c r="J176">
        <v>32</v>
      </c>
      <c r="K176">
        <v>0.92</v>
      </c>
      <c r="L176" t="s">
        <v>3435</v>
      </c>
    </row>
    <row r="177" spans="1:12">
      <c r="A177" t="s">
        <v>3431</v>
      </c>
      <c r="B177" t="s">
        <v>3432</v>
      </c>
      <c r="C177">
        <v>33</v>
      </c>
      <c r="D177" t="s">
        <v>3433</v>
      </c>
      <c r="E177" t="s">
        <v>3342</v>
      </c>
      <c r="F177" t="s">
        <v>3434</v>
      </c>
      <c r="G177">
        <v>1917</v>
      </c>
      <c r="H177">
        <v>1961</v>
      </c>
      <c r="I177">
        <v>34.880000000000003</v>
      </c>
      <c r="J177">
        <v>33</v>
      </c>
      <c r="K177">
        <v>0.94</v>
      </c>
      <c r="L177" t="s">
        <v>3435</v>
      </c>
    </row>
    <row r="178" spans="1:12">
      <c r="A178" t="s">
        <v>3431</v>
      </c>
      <c r="B178" t="s">
        <v>3432</v>
      </c>
      <c r="C178">
        <v>36</v>
      </c>
      <c r="D178" t="s">
        <v>3433</v>
      </c>
      <c r="E178" t="s">
        <v>3342</v>
      </c>
      <c r="F178" t="s">
        <v>3434</v>
      </c>
      <c r="G178">
        <v>1917</v>
      </c>
      <c r="H178">
        <v>1961</v>
      </c>
      <c r="I178">
        <v>37.96</v>
      </c>
      <c r="J178">
        <v>36</v>
      </c>
      <c r="K178">
        <v>0.98</v>
      </c>
      <c r="L178" t="s">
        <v>3435</v>
      </c>
    </row>
    <row r="179" spans="1:12">
      <c r="A179" t="s">
        <v>3431</v>
      </c>
      <c r="B179" t="s">
        <v>3432</v>
      </c>
      <c r="C179">
        <v>38</v>
      </c>
      <c r="D179" t="s">
        <v>3433</v>
      </c>
      <c r="E179" t="s">
        <v>3342</v>
      </c>
      <c r="F179" t="s">
        <v>3434</v>
      </c>
      <c r="G179">
        <v>1917</v>
      </c>
      <c r="H179">
        <v>1961</v>
      </c>
      <c r="I179">
        <v>40.020000000000003</v>
      </c>
      <c r="J179">
        <v>38</v>
      </c>
      <c r="K179">
        <v>1.01</v>
      </c>
      <c r="L179" t="s">
        <v>3435</v>
      </c>
    </row>
    <row r="180" spans="1:12">
      <c r="A180" t="s">
        <v>3431</v>
      </c>
      <c r="B180" t="s">
        <v>3432</v>
      </c>
      <c r="C180">
        <v>39</v>
      </c>
      <c r="D180" t="s">
        <v>3433</v>
      </c>
      <c r="E180" t="s">
        <v>3342</v>
      </c>
      <c r="F180" t="s">
        <v>3434</v>
      </c>
      <c r="G180">
        <v>1917</v>
      </c>
      <c r="H180">
        <v>1961</v>
      </c>
      <c r="I180">
        <v>4.1040000000000001</v>
      </c>
      <c r="J180">
        <v>2.0640000000000001</v>
      </c>
      <c r="K180">
        <v>1.02</v>
      </c>
      <c r="L180" t="s">
        <v>3435</v>
      </c>
    </row>
    <row r="181" spans="1:12">
      <c r="A181" t="s">
        <v>3431</v>
      </c>
      <c r="B181" t="s">
        <v>3432</v>
      </c>
      <c r="C181">
        <v>40</v>
      </c>
      <c r="D181" t="s">
        <v>3433</v>
      </c>
      <c r="E181" t="s">
        <v>3342</v>
      </c>
      <c r="F181" t="s">
        <v>3434</v>
      </c>
      <c r="G181">
        <v>1917</v>
      </c>
      <c r="H181">
        <v>1961</v>
      </c>
      <c r="I181">
        <v>42.06</v>
      </c>
      <c r="J181">
        <v>40</v>
      </c>
      <c r="K181">
        <v>1.03</v>
      </c>
      <c r="L181" t="s">
        <v>3435</v>
      </c>
    </row>
    <row r="182" spans="1:12">
      <c r="A182" t="s">
        <v>3431</v>
      </c>
      <c r="B182" t="s">
        <v>3432</v>
      </c>
      <c r="C182">
        <v>42</v>
      </c>
      <c r="D182" t="s">
        <v>3433</v>
      </c>
      <c r="E182" t="s">
        <v>3342</v>
      </c>
      <c r="F182" t="s">
        <v>3434</v>
      </c>
      <c r="G182">
        <v>1917</v>
      </c>
      <c r="H182">
        <v>1961</v>
      </c>
      <c r="I182">
        <v>44.12</v>
      </c>
      <c r="J182">
        <v>42</v>
      </c>
      <c r="K182">
        <v>1.06</v>
      </c>
      <c r="L182" t="s">
        <v>3435</v>
      </c>
    </row>
    <row r="183" spans="1:12">
      <c r="A183" t="s">
        <v>3431</v>
      </c>
      <c r="B183" t="s">
        <v>3432</v>
      </c>
      <c r="C183">
        <v>44</v>
      </c>
      <c r="D183" t="s">
        <v>3433</v>
      </c>
      <c r="E183" t="s">
        <v>3342</v>
      </c>
      <c r="F183" t="s">
        <v>3434</v>
      </c>
      <c r="G183">
        <v>1917</v>
      </c>
      <c r="H183">
        <v>1961</v>
      </c>
      <c r="I183">
        <v>46.16</v>
      </c>
      <c r="J183">
        <v>44</v>
      </c>
      <c r="K183">
        <v>1.08</v>
      </c>
      <c r="L183" t="s">
        <v>3435</v>
      </c>
    </row>
    <row r="184" spans="1:12">
      <c r="A184" t="s">
        <v>3431</v>
      </c>
      <c r="B184" t="s">
        <v>3432</v>
      </c>
      <c r="C184">
        <v>45</v>
      </c>
      <c r="D184" t="s">
        <v>3433</v>
      </c>
      <c r="E184" t="s">
        <v>3342</v>
      </c>
      <c r="F184" t="s">
        <v>3434</v>
      </c>
      <c r="G184">
        <v>1917</v>
      </c>
      <c r="H184">
        <v>1961</v>
      </c>
      <c r="I184">
        <v>47.18</v>
      </c>
      <c r="J184">
        <v>45</v>
      </c>
      <c r="K184">
        <v>1.0900000000000001</v>
      </c>
      <c r="L184" t="s">
        <v>3435</v>
      </c>
    </row>
    <row r="185" spans="1:12">
      <c r="A185" t="s">
        <v>3431</v>
      </c>
      <c r="B185" t="s">
        <v>3432</v>
      </c>
      <c r="C185">
        <v>46</v>
      </c>
      <c r="D185" t="s">
        <v>3433</v>
      </c>
      <c r="E185" t="s">
        <v>3342</v>
      </c>
      <c r="F185" t="s">
        <v>3434</v>
      </c>
      <c r="G185">
        <v>1917</v>
      </c>
      <c r="H185">
        <v>1961</v>
      </c>
      <c r="I185">
        <v>48.22</v>
      </c>
      <c r="J185">
        <v>46.02</v>
      </c>
      <c r="K185">
        <v>1.1000000000000001</v>
      </c>
      <c r="L185" t="s">
        <v>3435</v>
      </c>
    </row>
    <row r="186" spans="1:12">
      <c r="A186" t="s">
        <v>3431</v>
      </c>
      <c r="B186" t="s">
        <v>3432</v>
      </c>
      <c r="C186">
        <v>48</v>
      </c>
      <c r="D186" t="s">
        <v>3433</v>
      </c>
      <c r="E186" t="s">
        <v>3342</v>
      </c>
      <c r="F186" t="s">
        <v>3434</v>
      </c>
      <c r="G186">
        <v>1917</v>
      </c>
      <c r="H186">
        <v>1961</v>
      </c>
      <c r="I186">
        <v>50.26</v>
      </c>
      <c r="J186">
        <v>48</v>
      </c>
      <c r="K186">
        <v>1.1299999999999999</v>
      </c>
      <c r="L186" t="s">
        <v>3435</v>
      </c>
    </row>
    <row r="187" spans="1:12">
      <c r="A187" t="s">
        <v>3431</v>
      </c>
      <c r="B187" t="s">
        <v>3432</v>
      </c>
      <c r="C187">
        <v>1.5</v>
      </c>
      <c r="D187" t="s">
        <v>3433</v>
      </c>
      <c r="E187" t="s">
        <v>3345</v>
      </c>
      <c r="F187" t="s">
        <v>3398</v>
      </c>
      <c r="G187">
        <v>1917</v>
      </c>
      <c r="H187">
        <v>1961</v>
      </c>
      <c r="I187">
        <v>2.2000000000000002</v>
      </c>
      <c r="J187">
        <v>1.5</v>
      </c>
      <c r="K187">
        <v>0.35</v>
      </c>
      <c r="L187" t="s">
        <v>3435</v>
      </c>
    </row>
    <row r="188" spans="1:12">
      <c r="A188" t="s">
        <v>3431</v>
      </c>
      <c r="B188" t="s">
        <v>3432</v>
      </c>
      <c r="C188">
        <v>2</v>
      </c>
      <c r="D188" t="s">
        <v>3433</v>
      </c>
      <c r="E188" t="s">
        <v>3345</v>
      </c>
      <c r="F188" t="s">
        <v>3398</v>
      </c>
      <c r="G188">
        <v>1917</v>
      </c>
      <c r="H188">
        <v>1961</v>
      </c>
      <c r="I188">
        <v>2.72</v>
      </c>
      <c r="J188">
        <v>2</v>
      </c>
      <c r="K188">
        <v>0.36</v>
      </c>
      <c r="L188" t="s">
        <v>3435</v>
      </c>
    </row>
    <row r="189" spans="1:12">
      <c r="A189" t="s">
        <v>3431</v>
      </c>
      <c r="B189" t="s">
        <v>3432</v>
      </c>
      <c r="C189">
        <v>2.5</v>
      </c>
      <c r="D189" t="s">
        <v>3433</v>
      </c>
      <c r="E189" t="s">
        <v>3345</v>
      </c>
      <c r="F189" t="s">
        <v>3398</v>
      </c>
      <c r="G189">
        <v>1917</v>
      </c>
      <c r="H189">
        <v>1961</v>
      </c>
      <c r="I189">
        <v>3.24</v>
      </c>
      <c r="J189">
        <v>2.5</v>
      </c>
      <c r="K189">
        <v>0.37</v>
      </c>
      <c r="L189" t="s">
        <v>3435</v>
      </c>
    </row>
    <row r="190" spans="1:12">
      <c r="A190" t="s">
        <v>3431</v>
      </c>
      <c r="B190" t="s">
        <v>3432</v>
      </c>
      <c r="C190">
        <v>3</v>
      </c>
      <c r="D190" t="s">
        <v>3433</v>
      </c>
      <c r="E190" t="s">
        <v>3345</v>
      </c>
      <c r="F190" t="s">
        <v>3398</v>
      </c>
      <c r="G190">
        <v>1917</v>
      </c>
      <c r="H190">
        <v>1961</v>
      </c>
      <c r="I190">
        <v>3.76</v>
      </c>
      <c r="J190">
        <v>3</v>
      </c>
      <c r="K190">
        <v>0.38</v>
      </c>
      <c r="L190" t="s">
        <v>3435</v>
      </c>
    </row>
    <row r="191" spans="1:12">
      <c r="A191" t="s">
        <v>3431</v>
      </c>
      <c r="B191" t="s">
        <v>3432</v>
      </c>
      <c r="C191">
        <v>4</v>
      </c>
      <c r="D191" t="s">
        <v>3433</v>
      </c>
      <c r="E191" t="s">
        <v>3345</v>
      </c>
      <c r="F191" t="s">
        <v>3398</v>
      </c>
      <c r="G191">
        <v>1917</v>
      </c>
      <c r="H191">
        <v>1961</v>
      </c>
      <c r="I191">
        <v>4.8</v>
      </c>
      <c r="J191">
        <v>4</v>
      </c>
      <c r="K191">
        <v>0.4</v>
      </c>
      <c r="L191" t="s">
        <v>3435</v>
      </c>
    </row>
    <row r="192" spans="1:12">
      <c r="A192" t="s">
        <v>3431</v>
      </c>
      <c r="B192" t="s">
        <v>3432</v>
      </c>
      <c r="C192">
        <v>5</v>
      </c>
      <c r="D192" t="s">
        <v>3433</v>
      </c>
      <c r="E192" t="s">
        <v>3345</v>
      </c>
      <c r="F192" t="s">
        <v>3398</v>
      </c>
      <c r="G192">
        <v>1917</v>
      </c>
      <c r="H192">
        <v>1961</v>
      </c>
      <c r="I192">
        <v>5.9</v>
      </c>
      <c r="J192">
        <v>5</v>
      </c>
      <c r="K192">
        <v>0.45</v>
      </c>
      <c r="L192" t="s">
        <v>3435</v>
      </c>
    </row>
    <row r="193" spans="1:12">
      <c r="A193" t="s">
        <v>3431</v>
      </c>
      <c r="B193" t="s">
        <v>3432</v>
      </c>
      <c r="C193">
        <v>6</v>
      </c>
      <c r="D193" t="s">
        <v>3433</v>
      </c>
      <c r="E193" t="s">
        <v>3345</v>
      </c>
      <c r="F193" t="s">
        <v>3398</v>
      </c>
      <c r="G193">
        <v>1917</v>
      </c>
      <c r="H193">
        <v>1961</v>
      </c>
      <c r="I193">
        <v>6.98</v>
      </c>
      <c r="J193">
        <v>6</v>
      </c>
      <c r="K193">
        <v>0.49</v>
      </c>
      <c r="L193" t="s">
        <v>3435</v>
      </c>
    </row>
    <row r="194" spans="1:12">
      <c r="A194" t="s">
        <v>3431</v>
      </c>
      <c r="B194" t="s">
        <v>3432</v>
      </c>
      <c r="C194">
        <v>7</v>
      </c>
      <c r="D194" t="s">
        <v>3433</v>
      </c>
      <c r="E194" t="s">
        <v>3345</v>
      </c>
      <c r="F194" t="s">
        <v>3398</v>
      </c>
      <c r="G194">
        <v>1917</v>
      </c>
      <c r="H194">
        <v>1961</v>
      </c>
      <c r="I194">
        <v>8.06</v>
      </c>
      <c r="J194">
        <v>7</v>
      </c>
      <c r="K194">
        <v>0.53</v>
      </c>
      <c r="L194" t="s">
        <v>3435</v>
      </c>
    </row>
    <row r="195" spans="1:12">
      <c r="A195" t="s">
        <v>3431</v>
      </c>
      <c r="B195" t="s">
        <v>3432</v>
      </c>
      <c r="C195">
        <v>8</v>
      </c>
      <c r="D195" t="s">
        <v>3433</v>
      </c>
      <c r="E195" t="s">
        <v>3345</v>
      </c>
      <c r="F195" t="s">
        <v>3398</v>
      </c>
      <c r="G195">
        <v>1917</v>
      </c>
      <c r="H195">
        <v>1961</v>
      </c>
      <c r="I195">
        <v>9.14</v>
      </c>
      <c r="J195">
        <v>8</v>
      </c>
      <c r="K195">
        <v>0.56999999999999995</v>
      </c>
      <c r="L195" t="s">
        <v>3435</v>
      </c>
    </row>
    <row r="196" spans="1:12">
      <c r="A196" t="s">
        <v>3431</v>
      </c>
      <c r="B196" t="s">
        <v>3432</v>
      </c>
      <c r="C196">
        <v>9</v>
      </c>
      <c r="D196" t="s">
        <v>3433</v>
      </c>
      <c r="E196" t="s">
        <v>3345</v>
      </c>
      <c r="F196" t="s">
        <v>3398</v>
      </c>
      <c r="G196">
        <v>1917</v>
      </c>
      <c r="H196">
        <v>1961</v>
      </c>
      <c r="I196">
        <v>10.199999999999999</v>
      </c>
      <c r="J196">
        <v>9</v>
      </c>
      <c r="K196">
        <v>0.6</v>
      </c>
      <c r="L196" t="s">
        <v>3435</v>
      </c>
    </row>
    <row r="197" spans="1:12">
      <c r="A197" t="s">
        <v>3431</v>
      </c>
      <c r="B197" t="s">
        <v>3432</v>
      </c>
      <c r="C197">
        <v>10</v>
      </c>
      <c r="D197" t="s">
        <v>3433</v>
      </c>
      <c r="E197" t="s">
        <v>3345</v>
      </c>
      <c r="F197" t="s">
        <v>3398</v>
      </c>
      <c r="G197">
        <v>1917</v>
      </c>
      <c r="H197">
        <v>1961</v>
      </c>
      <c r="I197">
        <v>11.26</v>
      </c>
      <c r="J197">
        <v>10</v>
      </c>
      <c r="K197">
        <v>0.63</v>
      </c>
      <c r="L197" t="s">
        <v>3435</v>
      </c>
    </row>
    <row r="198" spans="1:12">
      <c r="A198" t="s">
        <v>3431</v>
      </c>
      <c r="B198" t="s">
        <v>3432</v>
      </c>
      <c r="C198">
        <v>12</v>
      </c>
      <c r="D198" t="s">
        <v>3433</v>
      </c>
      <c r="E198" t="s">
        <v>3345</v>
      </c>
      <c r="F198" t="s">
        <v>3398</v>
      </c>
      <c r="G198">
        <v>1917</v>
      </c>
      <c r="H198">
        <v>1961</v>
      </c>
      <c r="I198">
        <v>13.6</v>
      </c>
      <c r="J198">
        <v>12.22</v>
      </c>
      <c r="K198">
        <v>0.69</v>
      </c>
      <c r="L198" t="s">
        <v>3435</v>
      </c>
    </row>
    <row r="199" spans="1:12">
      <c r="A199" t="s">
        <v>3431</v>
      </c>
      <c r="B199" t="s">
        <v>3432</v>
      </c>
      <c r="C199">
        <v>14</v>
      </c>
      <c r="D199" t="s">
        <v>3433</v>
      </c>
      <c r="E199" t="s">
        <v>3345</v>
      </c>
      <c r="F199" t="s">
        <v>3398</v>
      </c>
      <c r="G199">
        <v>1917</v>
      </c>
      <c r="H199">
        <v>1961</v>
      </c>
      <c r="I199">
        <v>15.72</v>
      </c>
      <c r="J199">
        <v>14.22</v>
      </c>
      <c r="K199">
        <v>0.75</v>
      </c>
      <c r="L199" t="s">
        <v>3435</v>
      </c>
    </row>
    <row r="200" spans="1:12">
      <c r="A200" t="s">
        <v>3431</v>
      </c>
      <c r="B200" t="s">
        <v>3432</v>
      </c>
      <c r="C200">
        <v>15</v>
      </c>
      <c r="D200" t="s">
        <v>3433</v>
      </c>
      <c r="E200" t="s">
        <v>3345</v>
      </c>
      <c r="F200" t="s">
        <v>3398</v>
      </c>
      <c r="G200">
        <v>1917</v>
      </c>
      <c r="H200">
        <v>1961</v>
      </c>
      <c r="I200">
        <v>16.78</v>
      </c>
      <c r="J200">
        <v>15.24</v>
      </c>
      <c r="K200">
        <v>0.77</v>
      </c>
      <c r="L200" t="s">
        <v>3435</v>
      </c>
    </row>
    <row r="201" spans="1:12">
      <c r="A201" t="s">
        <v>3431</v>
      </c>
      <c r="B201" t="s">
        <v>3432</v>
      </c>
      <c r="C201">
        <v>16</v>
      </c>
      <c r="D201" t="s">
        <v>3433</v>
      </c>
      <c r="E201" t="s">
        <v>3345</v>
      </c>
      <c r="F201" t="s">
        <v>3398</v>
      </c>
      <c r="G201">
        <v>1917</v>
      </c>
      <c r="H201">
        <v>1961</v>
      </c>
      <c r="I201">
        <v>17.84</v>
      </c>
      <c r="J201">
        <v>16.239999999999998</v>
      </c>
      <c r="K201">
        <v>0.8</v>
      </c>
      <c r="L201" t="s">
        <v>3435</v>
      </c>
    </row>
    <row r="202" spans="1:12">
      <c r="A202" t="s">
        <v>3431</v>
      </c>
      <c r="B202" t="s">
        <v>3432</v>
      </c>
      <c r="C202">
        <v>18</v>
      </c>
      <c r="D202" t="s">
        <v>3433</v>
      </c>
      <c r="E202" t="s">
        <v>3345</v>
      </c>
      <c r="F202" t="s">
        <v>3398</v>
      </c>
      <c r="G202">
        <v>1917</v>
      </c>
      <c r="H202">
        <v>1961</v>
      </c>
      <c r="I202">
        <v>19.96</v>
      </c>
      <c r="J202">
        <v>18.260000000000002</v>
      </c>
      <c r="K202">
        <v>0.85</v>
      </c>
      <c r="L202" t="s">
        <v>3435</v>
      </c>
    </row>
    <row r="203" spans="1:12">
      <c r="A203" t="s">
        <v>3431</v>
      </c>
      <c r="B203" t="s">
        <v>3432</v>
      </c>
      <c r="C203">
        <v>20</v>
      </c>
      <c r="D203" t="s">
        <v>3433</v>
      </c>
      <c r="E203" t="s">
        <v>3345</v>
      </c>
      <c r="F203" t="s">
        <v>3398</v>
      </c>
      <c r="G203">
        <v>1917</v>
      </c>
      <c r="H203">
        <v>1961</v>
      </c>
      <c r="I203">
        <v>22.06</v>
      </c>
      <c r="J203">
        <v>20.28</v>
      </c>
      <c r="K203">
        <v>0.89</v>
      </c>
      <c r="L203" t="s">
        <v>3435</v>
      </c>
    </row>
    <row r="204" spans="1:12">
      <c r="A204" t="s">
        <v>3431</v>
      </c>
      <c r="B204" t="s">
        <v>3432</v>
      </c>
      <c r="C204">
        <v>21</v>
      </c>
      <c r="D204" t="s">
        <v>3433</v>
      </c>
      <c r="E204" t="s">
        <v>3345</v>
      </c>
      <c r="F204" t="s">
        <v>3398</v>
      </c>
      <c r="G204">
        <v>1917</v>
      </c>
      <c r="H204">
        <v>1961</v>
      </c>
      <c r="I204">
        <v>23.12</v>
      </c>
      <c r="J204">
        <v>21.28</v>
      </c>
      <c r="K204">
        <v>0.92</v>
      </c>
      <c r="L204" t="s">
        <v>3435</v>
      </c>
    </row>
    <row r="205" spans="1:12">
      <c r="A205" t="s">
        <v>3431</v>
      </c>
      <c r="B205" t="s">
        <v>3432</v>
      </c>
      <c r="C205">
        <v>22</v>
      </c>
      <c r="D205" t="s">
        <v>3433</v>
      </c>
      <c r="E205" t="s">
        <v>3345</v>
      </c>
      <c r="F205" t="s">
        <v>3398</v>
      </c>
      <c r="G205">
        <v>1917</v>
      </c>
      <c r="H205">
        <v>1961</v>
      </c>
      <c r="I205">
        <v>24.16</v>
      </c>
      <c r="J205">
        <v>22.28</v>
      </c>
      <c r="K205">
        <v>0.94</v>
      </c>
      <c r="L205" t="s">
        <v>3435</v>
      </c>
    </row>
    <row r="206" spans="1:12">
      <c r="A206" t="s">
        <v>3431</v>
      </c>
      <c r="B206" t="s">
        <v>3432</v>
      </c>
      <c r="C206">
        <v>24</v>
      </c>
      <c r="D206" t="s">
        <v>3433</v>
      </c>
      <c r="E206" t="s">
        <v>3345</v>
      </c>
      <c r="F206" t="s">
        <v>3398</v>
      </c>
      <c r="G206">
        <v>1917</v>
      </c>
      <c r="H206">
        <v>1961</v>
      </c>
      <c r="I206">
        <v>26.26</v>
      </c>
      <c r="J206">
        <v>24.3</v>
      </c>
      <c r="K206">
        <v>0.98</v>
      </c>
      <c r="L206" t="s">
        <v>3435</v>
      </c>
    </row>
    <row r="207" spans="1:12">
      <c r="A207" t="s">
        <v>3431</v>
      </c>
      <c r="B207" t="s">
        <v>3432</v>
      </c>
      <c r="C207">
        <v>26</v>
      </c>
      <c r="D207" t="s">
        <v>3433</v>
      </c>
      <c r="E207" t="s">
        <v>3345</v>
      </c>
      <c r="F207" t="s">
        <v>3398</v>
      </c>
      <c r="G207">
        <v>1917</v>
      </c>
      <c r="H207">
        <v>1961</v>
      </c>
      <c r="I207">
        <v>28.36</v>
      </c>
      <c r="J207">
        <v>26.32</v>
      </c>
      <c r="K207">
        <v>1.02</v>
      </c>
      <c r="L207" t="s">
        <v>3435</v>
      </c>
    </row>
    <row r="208" spans="1:12">
      <c r="A208" t="s">
        <v>3431</v>
      </c>
      <c r="B208" t="s">
        <v>3432</v>
      </c>
      <c r="C208">
        <v>27</v>
      </c>
      <c r="D208" t="s">
        <v>3433</v>
      </c>
      <c r="E208" t="s">
        <v>3345</v>
      </c>
      <c r="F208" t="s">
        <v>3398</v>
      </c>
      <c r="G208">
        <v>1917</v>
      </c>
      <c r="H208">
        <v>1961</v>
      </c>
      <c r="I208">
        <v>29.4</v>
      </c>
      <c r="J208">
        <v>27.32</v>
      </c>
      <c r="K208">
        <v>1.04</v>
      </c>
      <c r="L208" t="s">
        <v>3435</v>
      </c>
    </row>
    <row r="209" spans="1:12">
      <c r="A209" t="s">
        <v>3431</v>
      </c>
      <c r="B209" t="s">
        <v>3432</v>
      </c>
      <c r="C209">
        <v>28</v>
      </c>
      <c r="D209" t="s">
        <v>3433</v>
      </c>
      <c r="E209" t="s">
        <v>3345</v>
      </c>
      <c r="F209" t="s">
        <v>3398</v>
      </c>
      <c r="G209">
        <v>1917</v>
      </c>
      <c r="H209">
        <v>1961</v>
      </c>
      <c r="I209">
        <v>30.44</v>
      </c>
      <c r="J209">
        <v>28.32</v>
      </c>
      <c r="K209">
        <v>1.06</v>
      </c>
      <c r="L209" t="s">
        <v>3435</v>
      </c>
    </row>
    <row r="210" spans="1:12">
      <c r="A210" t="s">
        <v>3431</v>
      </c>
      <c r="B210" t="s">
        <v>3432</v>
      </c>
      <c r="C210">
        <v>30</v>
      </c>
      <c r="D210" t="s">
        <v>3433</v>
      </c>
      <c r="E210" t="s">
        <v>3345</v>
      </c>
      <c r="F210" t="s">
        <v>3398</v>
      </c>
      <c r="G210">
        <v>1917</v>
      </c>
      <c r="H210">
        <v>1961</v>
      </c>
      <c r="I210">
        <v>32.520000000000003</v>
      </c>
      <c r="J210">
        <v>30.34</v>
      </c>
      <c r="K210">
        <v>1.0900000000000001</v>
      </c>
      <c r="L210" t="s">
        <v>3435</v>
      </c>
    </row>
    <row r="211" spans="1:12">
      <c r="A211" t="s">
        <v>3431</v>
      </c>
      <c r="B211" t="s">
        <v>3432</v>
      </c>
      <c r="C211">
        <v>32</v>
      </c>
      <c r="D211" t="s">
        <v>3433</v>
      </c>
      <c r="E211" t="s">
        <v>3345</v>
      </c>
      <c r="F211" t="s">
        <v>3398</v>
      </c>
      <c r="G211">
        <v>1917</v>
      </c>
      <c r="H211">
        <v>1961</v>
      </c>
      <c r="I211">
        <v>34.619999999999997</v>
      </c>
      <c r="J211">
        <v>32.36</v>
      </c>
      <c r="K211">
        <v>1.1299999999999999</v>
      </c>
      <c r="L211" t="s">
        <v>3435</v>
      </c>
    </row>
    <row r="212" spans="1:12">
      <c r="A212" t="s">
        <v>3431</v>
      </c>
      <c r="B212" t="s">
        <v>3432</v>
      </c>
      <c r="C212">
        <v>33</v>
      </c>
      <c r="D212" t="s">
        <v>3433</v>
      </c>
      <c r="E212" t="s">
        <v>3345</v>
      </c>
      <c r="F212" t="s">
        <v>3398</v>
      </c>
      <c r="G212">
        <v>1917</v>
      </c>
      <c r="H212">
        <v>1961</v>
      </c>
      <c r="I212">
        <v>35.659999999999997</v>
      </c>
      <c r="J212">
        <v>33.36</v>
      </c>
      <c r="K212">
        <v>1.1499999999999999</v>
      </c>
      <c r="L212" t="s">
        <v>3435</v>
      </c>
    </row>
    <row r="213" spans="1:12">
      <c r="A213" t="s">
        <v>3431</v>
      </c>
      <c r="B213" t="s">
        <v>3432</v>
      </c>
      <c r="C213">
        <v>36</v>
      </c>
      <c r="D213" t="s">
        <v>3433</v>
      </c>
      <c r="E213" t="s">
        <v>3345</v>
      </c>
      <c r="F213" t="s">
        <v>3398</v>
      </c>
      <c r="G213">
        <v>1917</v>
      </c>
      <c r="H213">
        <v>1961</v>
      </c>
      <c r="I213">
        <v>38.76</v>
      </c>
      <c r="J213">
        <v>36.36</v>
      </c>
      <c r="K213">
        <v>1.2</v>
      </c>
      <c r="L213" t="s">
        <v>3435</v>
      </c>
    </row>
    <row r="214" spans="1:12">
      <c r="A214" t="s">
        <v>3431</v>
      </c>
      <c r="B214" t="s">
        <v>3432</v>
      </c>
      <c r="C214">
        <v>38</v>
      </c>
      <c r="D214" t="s">
        <v>3433</v>
      </c>
      <c r="E214" t="s">
        <v>3345</v>
      </c>
      <c r="F214" t="s">
        <v>3398</v>
      </c>
      <c r="G214">
        <v>1917</v>
      </c>
      <c r="H214">
        <v>1961</v>
      </c>
      <c r="I214">
        <v>40.840000000000003</v>
      </c>
      <c r="J214">
        <v>38.380000000000003</v>
      </c>
      <c r="K214">
        <v>1.23</v>
      </c>
      <c r="L214" t="s">
        <v>3435</v>
      </c>
    </row>
    <row r="215" spans="1:12">
      <c r="A215" t="s">
        <v>3431</v>
      </c>
      <c r="B215" t="s">
        <v>3432</v>
      </c>
      <c r="C215">
        <v>39</v>
      </c>
      <c r="D215" t="s">
        <v>3433</v>
      </c>
      <c r="E215" t="s">
        <v>3345</v>
      </c>
      <c r="F215" t="s">
        <v>3398</v>
      </c>
      <c r="G215">
        <v>1917</v>
      </c>
      <c r="H215">
        <v>1961</v>
      </c>
      <c r="I215">
        <v>41.88</v>
      </c>
      <c r="J215">
        <v>39.380000000000003</v>
      </c>
      <c r="K215">
        <v>1.25</v>
      </c>
      <c r="L215" t="s">
        <v>3435</v>
      </c>
    </row>
    <row r="216" spans="1:12">
      <c r="A216" t="s">
        <v>3431</v>
      </c>
      <c r="B216" t="s">
        <v>3432</v>
      </c>
      <c r="C216">
        <v>40</v>
      </c>
      <c r="D216" t="s">
        <v>3433</v>
      </c>
      <c r="E216" t="s">
        <v>3345</v>
      </c>
      <c r="F216" t="s">
        <v>3398</v>
      </c>
      <c r="G216">
        <v>1917</v>
      </c>
      <c r="H216">
        <v>1961</v>
      </c>
      <c r="I216">
        <v>42.92</v>
      </c>
      <c r="J216">
        <v>40.4</v>
      </c>
      <c r="K216">
        <v>1.26</v>
      </c>
      <c r="L216" t="s">
        <v>3435</v>
      </c>
    </row>
    <row r="217" spans="1:12">
      <c r="A217" t="s">
        <v>3431</v>
      </c>
      <c r="B217" t="s">
        <v>3432</v>
      </c>
      <c r="C217">
        <v>42</v>
      </c>
      <c r="D217" t="s">
        <v>3433</v>
      </c>
      <c r="E217" t="s">
        <v>3345</v>
      </c>
      <c r="F217" t="s">
        <v>3398</v>
      </c>
      <c r="G217">
        <v>1917</v>
      </c>
      <c r="H217">
        <v>1961</v>
      </c>
      <c r="I217">
        <v>45</v>
      </c>
      <c r="J217">
        <v>42.4</v>
      </c>
      <c r="K217">
        <v>1.3</v>
      </c>
      <c r="L217" t="s">
        <v>3435</v>
      </c>
    </row>
    <row r="218" spans="1:12">
      <c r="A218" t="s">
        <v>3431</v>
      </c>
      <c r="B218" t="s">
        <v>3432</v>
      </c>
      <c r="C218">
        <v>44</v>
      </c>
      <c r="D218" t="s">
        <v>3433</v>
      </c>
      <c r="E218" t="s">
        <v>3345</v>
      </c>
      <c r="F218" t="s">
        <v>3398</v>
      </c>
      <c r="G218">
        <v>1917</v>
      </c>
      <c r="H218">
        <v>1961</v>
      </c>
      <c r="I218">
        <v>47.06</v>
      </c>
      <c r="J218">
        <v>44.4</v>
      </c>
      <c r="K218">
        <v>1.33</v>
      </c>
      <c r="L218" t="s">
        <v>3435</v>
      </c>
    </row>
    <row r="219" spans="1:12">
      <c r="A219" t="s">
        <v>3431</v>
      </c>
      <c r="B219" t="s">
        <v>3432</v>
      </c>
      <c r="C219">
        <v>45</v>
      </c>
      <c r="D219" t="s">
        <v>3433</v>
      </c>
      <c r="E219" t="s">
        <v>3345</v>
      </c>
      <c r="F219" t="s">
        <v>3398</v>
      </c>
      <c r="G219">
        <v>1917</v>
      </c>
      <c r="H219">
        <v>1961</v>
      </c>
      <c r="I219">
        <v>48.1</v>
      </c>
      <c r="J219">
        <v>45.4</v>
      </c>
      <c r="K219">
        <v>1.35</v>
      </c>
      <c r="L219" t="s">
        <v>3435</v>
      </c>
    </row>
    <row r="220" spans="1:12">
      <c r="A220" t="s">
        <v>3431</v>
      </c>
      <c r="B220" t="s">
        <v>3432</v>
      </c>
      <c r="C220">
        <v>46</v>
      </c>
      <c r="D220" t="s">
        <v>3433</v>
      </c>
      <c r="E220" t="s">
        <v>3345</v>
      </c>
      <c r="F220" t="s">
        <v>3398</v>
      </c>
      <c r="G220">
        <v>1917</v>
      </c>
      <c r="H220">
        <v>1961</v>
      </c>
      <c r="I220">
        <v>49.14</v>
      </c>
      <c r="J220">
        <v>46.42</v>
      </c>
      <c r="K220">
        <v>1.36</v>
      </c>
      <c r="L220" t="s">
        <v>3435</v>
      </c>
    </row>
    <row r="221" spans="1:12">
      <c r="A221" t="s">
        <v>3431</v>
      </c>
      <c r="B221" t="s">
        <v>3432</v>
      </c>
      <c r="C221">
        <v>48</v>
      </c>
      <c r="D221" t="s">
        <v>3433</v>
      </c>
      <c r="E221" t="s">
        <v>3345</v>
      </c>
      <c r="F221" t="s">
        <v>3398</v>
      </c>
      <c r="G221">
        <v>1917</v>
      </c>
      <c r="H221">
        <v>1961</v>
      </c>
      <c r="I221">
        <v>51.2</v>
      </c>
      <c r="J221">
        <v>48.44</v>
      </c>
      <c r="K221">
        <v>1.38</v>
      </c>
      <c r="L221" t="s">
        <v>3435</v>
      </c>
    </row>
    <row r="222" spans="1:12">
      <c r="A222" t="s">
        <v>3431</v>
      </c>
      <c r="B222" t="s">
        <v>3432</v>
      </c>
      <c r="C222">
        <v>1.5</v>
      </c>
      <c r="D222" t="s">
        <v>3433</v>
      </c>
      <c r="E222" t="s">
        <v>3347</v>
      </c>
      <c r="F222" t="s">
        <v>3399</v>
      </c>
      <c r="G222">
        <v>1917</v>
      </c>
      <c r="H222">
        <v>1961</v>
      </c>
      <c r="I222">
        <v>2.2000000000000002</v>
      </c>
      <c r="J222">
        <v>1.5</v>
      </c>
      <c r="K222">
        <v>0.35</v>
      </c>
      <c r="L222" t="s">
        <v>3435</v>
      </c>
    </row>
    <row r="223" spans="1:12">
      <c r="A223" t="s">
        <v>3431</v>
      </c>
      <c r="B223" t="s">
        <v>3432</v>
      </c>
      <c r="C223">
        <v>2</v>
      </c>
      <c r="D223" t="s">
        <v>3433</v>
      </c>
      <c r="E223" t="s">
        <v>3347</v>
      </c>
      <c r="F223" t="s">
        <v>3399</v>
      </c>
      <c r="G223">
        <v>1917</v>
      </c>
      <c r="H223">
        <v>1961</v>
      </c>
      <c r="I223">
        <v>2.72</v>
      </c>
      <c r="J223">
        <v>2</v>
      </c>
      <c r="K223">
        <v>0.36</v>
      </c>
      <c r="L223" t="s">
        <v>3435</v>
      </c>
    </row>
    <row r="224" spans="1:12">
      <c r="A224" t="s">
        <v>3431</v>
      </c>
      <c r="B224" t="s">
        <v>3432</v>
      </c>
      <c r="C224">
        <v>2.5</v>
      </c>
      <c r="D224" t="s">
        <v>3433</v>
      </c>
      <c r="E224" t="s">
        <v>3347</v>
      </c>
      <c r="F224" t="s">
        <v>3399</v>
      </c>
      <c r="G224">
        <v>1917</v>
      </c>
      <c r="H224">
        <v>1961</v>
      </c>
      <c r="I224">
        <v>3.24</v>
      </c>
      <c r="J224">
        <v>2.5</v>
      </c>
      <c r="K224">
        <v>0.37</v>
      </c>
      <c r="L224" t="s">
        <v>3435</v>
      </c>
    </row>
    <row r="225" spans="1:12">
      <c r="A225" t="s">
        <v>3431</v>
      </c>
      <c r="B225" t="s">
        <v>3432</v>
      </c>
      <c r="C225">
        <v>3</v>
      </c>
      <c r="D225" t="s">
        <v>3433</v>
      </c>
      <c r="E225" t="s">
        <v>3347</v>
      </c>
      <c r="F225" t="s">
        <v>3399</v>
      </c>
      <c r="G225">
        <v>1917</v>
      </c>
      <c r="H225">
        <v>1961</v>
      </c>
      <c r="I225">
        <v>3.76</v>
      </c>
      <c r="J225">
        <v>2.96</v>
      </c>
      <c r="K225">
        <v>0.4</v>
      </c>
      <c r="L225" t="s">
        <v>3435</v>
      </c>
    </row>
    <row r="226" spans="1:12">
      <c r="A226" t="s">
        <v>3431</v>
      </c>
      <c r="B226" t="s">
        <v>3432</v>
      </c>
      <c r="C226">
        <v>4</v>
      </c>
      <c r="D226" t="s">
        <v>3433</v>
      </c>
      <c r="E226" t="s">
        <v>3347</v>
      </c>
      <c r="F226" t="s">
        <v>3399</v>
      </c>
      <c r="G226">
        <v>1917</v>
      </c>
      <c r="H226">
        <v>1961</v>
      </c>
      <c r="I226">
        <v>4.8</v>
      </c>
      <c r="J226">
        <v>3.88</v>
      </c>
      <c r="K226">
        <v>0.46</v>
      </c>
      <c r="L226" t="s">
        <v>3435</v>
      </c>
    </row>
    <row r="227" spans="1:12">
      <c r="A227" t="s">
        <v>3431</v>
      </c>
      <c r="B227" t="s">
        <v>3432</v>
      </c>
      <c r="C227">
        <v>5</v>
      </c>
      <c r="D227" t="s">
        <v>3433</v>
      </c>
      <c r="E227" t="s">
        <v>3347</v>
      </c>
      <c r="F227" t="s">
        <v>3399</v>
      </c>
      <c r="G227">
        <v>1917</v>
      </c>
      <c r="H227">
        <v>1961</v>
      </c>
      <c r="I227">
        <v>5.9</v>
      </c>
      <c r="J227">
        <v>4.8600000000000003</v>
      </c>
      <c r="K227">
        <v>0.52</v>
      </c>
      <c r="L227" t="s">
        <v>3435</v>
      </c>
    </row>
    <row r="228" spans="1:12">
      <c r="A228" t="s">
        <v>3431</v>
      </c>
      <c r="B228" t="s">
        <v>3432</v>
      </c>
      <c r="C228">
        <v>6</v>
      </c>
      <c r="D228" t="s">
        <v>3433</v>
      </c>
      <c r="E228" t="s">
        <v>3347</v>
      </c>
      <c r="F228" t="s">
        <v>3399</v>
      </c>
      <c r="G228">
        <v>1917</v>
      </c>
      <c r="H228">
        <v>1961</v>
      </c>
      <c r="I228">
        <v>6.98</v>
      </c>
      <c r="J228">
        <v>5.84</v>
      </c>
      <c r="K228">
        <v>0.56999999999999995</v>
      </c>
      <c r="L228" t="s">
        <v>3435</v>
      </c>
    </row>
    <row r="229" spans="1:12">
      <c r="A229" t="s">
        <v>3431</v>
      </c>
      <c r="B229" t="s">
        <v>3432</v>
      </c>
      <c r="C229">
        <v>7</v>
      </c>
      <c r="D229" t="s">
        <v>3433</v>
      </c>
      <c r="E229" t="s">
        <v>3347</v>
      </c>
      <c r="F229" t="s">
        <v>3399</v>
      </c>
      <c r="G229">
        <v>1917</v>
      </c>
      <c r="H229">
        <v>1961</v>
      </c>
      <c r="I229">
        <v>8.06</v>
      </c>
      <c r="J229">
        <v>6.84</v>
      </c>
      <c r="K229">
        <v>0.61</v>
      </c>
      <c r="L229" t="s">
        <v>3435</v>
      </c>
    </row>
    <row r="230" spans="1:12">
      <c r="A230" t="s">
        <v>3431</v>
      </c>
      <c r="B230" t="s">
        <v>3432</v>
      </c>
      <c r="C230">
        <v>8</v>
      </c>
      <c r="D230" t="s">
        <v>3433</v>
      </c>
      <c r="E230" t="s">
        <v>3347</v>
      </c>
      <c r="F230" t="s">
        <v>3399</v>
      </c>
      <c r="G230">
        <v>1917</v>
      </c>
      <c r="H230">
        <v>1961</v>
      </c>
      <c r="I230">
        <v>9.14</v>
      </c>
      <c r="J230">
        <v>7.84</v>
      </c>
      <c r="K230">
        <v>0.65</v>
      </c>
      <c r="L230" t="s">
        <v>3435</v>
      </c>
    </row>
    <row r="231" spans="1:12">
      <c r="A231" t="s">
        <v>3431</v>
      </c>
      <c r="B231" t="s">
        <v>3432</v>
      </c>
      <c r="C231">
        <v>9</v>
      </c>
      <c r="D231" t="s">
        <v>3433</v>
      </c>
      <c r="E231" t="s">
        <v>3347</v>
      </c>
      <c r="F231" t="s">
        <v>3399</v>
      </c>
      <c r="G231">
        <v>1917</v>
      </c>
      <c r="H231">
        <v>1961</v>
      </c>
      <c r="I231">
        <v>10.199999999999999</v>
      </c>
      <c r="J231">
        <v>8.82</v>
      </c>
      <c r="K231">
        <v>0.69</v>
      </c>
      <c r="L231" t="s">
        <v>3435</v>
      </c>
    </row>
    <row r="232" spans="1:12">
      <c r="A232" t="s">
        <v>3431</v>
      </c>
      <c r="B232" t="s">
        <v>3432</v>
      </c>
      <c r="C232">
        <v>10</v>
      </c>
      <c r="D232" t="s">
        <v>3433</v>
      </c>
      <c r="E232" t="s">
        <v>3347</v>
      </c>
      <c r="F232" t="s">
        <v>3399</v>
      </c>
      <c r="G232">
        <v>1917</v>
      </c>
      <c r="H232">
        <v>1961</v>
      </c>
      <c r="I232">
        <v>11.26</v>
      </c>
      <c r="J232">
        <v>9.8000000000000007</v>
      </c>
      <c r="K232">
        <v>0.73</v>
      </c>
      <c r="L232" t="s">
        <v>3435</v>
      </c>
    </row>
    <row r="233" spans="1:12">
      <c r="A233" t="s">
        <v>3431</v>
      </c>
      <c r="B233" t="s">
        <v>3432</v>
      </c>
      <c r="C233">
        <v>12</v>
      </c>
      <c r="D233" t="s">
        <v>3433</v>
      </c>
      <c r="E233" t="s">
        <v>3347</v>
      </c>
      <c r="F233" t="s">
        <v>3399</v>
      </c>
      <c r="G233">
        <v>1917</v>
      </c>
      <c r="H233">
        <v>1961</v>
      </c>
      <c r="I233">
        <v>13.6</v>
      </c>
      <c r="J233">
        <v>12</v>
      </c>
      <c r="K233">
        <v>0.8</v>
      </c>
      <c r="L233" t="s">
        <v>3435</v>
      </c>
    </row>
    <row r="234" spans="1:12">
      <c r="A234" t="s">
        <v>3431</v>
      </c>
      <c r="B234" t="s">
        <v>3432</v>
      </c>
      <c r="C234">
        <v>14</v>
      </c>
      <c r="D234" t="s">
        <v>3433</v>
      </c>
      <c r="E234" t="s">
        <v>3347</v>
      </c>
      <c r="F234" t="s">
        <v>3399</v>
      </c>
      <c r="G234">
        <v>1917</v>
      </c>
      <c r="H234">
        <v>1961</v>
      </c>
      <c r="I234">
        <v>15.72</v>
      </c>
      <c r="J234">
        <v>14</v>
      </c>
      <c r="K234">
        <v>0.86</v>
      </c>
      <c r="L234" t="s">
        <v>3435</v>
      </c>
    </row>
    <row r="235" spans="1:12">
      <c r="A235" t="s">
        <v>3431</v>
      </c>
      <c r="B235" t="s">
        <v>3432</v>
      </c>
      <c r="C235">
        <v>15</v>
      </c>
      <c r="D235" t="s">
        <v>3433</v>
      </c>
      <c r="E235" t="s">
        <v>3347</v>
      </c>
      <c r="F235" t="s">
        <v>3399</v>
      </c>
      <c r="G235">
        <v>1917</v>
      </c>
      <c r="H235">
        <v>1961</v>
      </c>
      <c r="I235">
        <v>16.78</v>
      </c>
      <c r="J235">
        <v>15</v>
      </c>
      <c r="K235">
        <v>0.89</v>
      </c>
      <c r="L235" t="s">
        <v>3435</v>
      </c>
    </row>
    <row r="236" spans="1:12">
      <c r="A236" t="s">
        <v>3431</v>
      </c>
      <c r="B236" t="s">
        <v>3432</v>
      </c>
      <c r="C236">
        <v>16</v>
      </c>
      <c r="D236" t="s">
        <v>3433</v>
      </c>
      <c r="E236" t="s">
        <v>3347</v>
      </c>
      <c r="F236" t="s">
        <v>3399</v>
      </c>
      <c r="G236">
        <v>1917</v>
      </c>
      <c r="H236">
        <v>1961</v>
      </c>
      <c r="I236">
        <v>17.84</v>
      </c>
      <c r="J236">
        <v>16</v>
      </c>
      <c r="K236">
        <v>0.92</v>
      </c>
      <c r="L236" t="s">
        <v>3435</v>
      </c>
    </row>
    <row r="237" spans="1:12">
      <c r="A237" t="s">
        <v>3431</v>
      </c>
      <c r="B237" t="s">
        <v>3432</v>
      </c>
      <c r="C237">
        <v>18</v>
      </c>
      <c r="D237" t="s">
        <v>3433</v>
      </c>
      <c r="E237" t="s">
        <v>3347</v>
      </c>
      <c r="F237" t="s">
        <v>3399</v>
      </c>
      <c r="G237">
        <v>1917</v>
      </c>
      <c r="H237">
        <v>1961</v>
      </c>
      <c r="I237">
        <v>19.96</v>
      </c>
      <c r="J237">
        <v>18</v>
      </c>
      <c r="K237">
        <v>0.98</v>
      </c>
      <c r="L237" t="s">
        <v>3435</v>
      </c>
    </row>
    <row r="238" spans="1:12">
      <c r="A238" t="s">
        <v>3431</v>
      </c>
      <c r="B238" t="s">
        <v>3432</v>
      </c>
      <c r="C238">
        <v>20</v>
      </c>
      <c r="D238" t="s">
        <v>3433</v>
      </c>
      <c r="E238" t="s">
        <v>3347</v>
      </c>
      <c r="F238" t="s">
        <v>3399</v>
      </c>
      <c r="G238">
        <v>1917</v>
      </c>
      <c r="H238">
        <v>1961</v>
      </c>
      <c r="I238">
        <v>22.06</v>
      </c>
      <c r="J238">
        <v>20</v>
      </c>
      <c r="K238">
        <v>1.03</v>
      </c>
      <c r="L238" t="s">
        <v>3435</v>
      </c>
    </row>
    <row r="239" spans="1:12">
      <c r="A239" t="s">
        <v>3431</v>
      </c>
      <c r="B239" t="s">
        <v>3432</v>
      </c>
      <c r="C239">
        <v>21</v>
      </c>
      <c r="D239" t="s">
        <v>3433</v>
      </c>
      <c r="E239" t="s">
        <v>3347</v>
      </c>
      <c r="F239" t="s">
        <v>3399</v>
      </c>
      <c r="G239">
        <v>1917</v>
      </c>
      <c r="H239">
        <v>1961</v>
      </c>
      <c r="I239">
        <v>23.12</v>
      </c>
      <c r="J239">
        <v>21</v>
      </c>
      <c r="K239">
        <v>1.06</v>
      </c>
      <c r="L239" t="s">
        <v>3435</v>
      </c>
    </row>
    <row r="240" spans="1:12">
      <c r="A240" t="s">
        <v>3431</v>
      </c>
      <c r="B240" t="s">
        <v>3432</v>
      </c>
      <c r="C240">
        <v>22</v>
      </c>
      <c r="D240" t="s">
        <v>3433</v>
      </c>
      <c r="E240" t="s">
        <v>3347</v>
      </c>
      <c r="F240" t="s">
        <v>3399</v>
      </c>
      <c r="G240">
        <v>1917</v>
      </c>
      <c r="H240">
        <v>1961</v>
      </c>
      <c r="I240">
        <v>24.16</v>
      </c>
      <c r="J240">
        <v>22</v>
      </c>
      <c r="K240">
        <v>1.08</v>
      </c>
      <c r="L240" t="s">
        <v>3435</v>
      </c>
    </row>
    <row r="241" spans="1:12">
      <c r="A241" t="s">
        <v>3431</v>
      </c>
      <c r="B241" t="s">
        <v>3432</v>
      </c>
      <c r="C241">
        <v>24</v>
      </c>
      <c r="D241" t="s">
        <v>3433</v>
      </c>
      <c r="E241" t="s">
        <v>3347</v>
      </c>
      <c r="F241" t="s">
        <v>3399</v>
      </c>
      <c r="G241">
        <v>1917</v>
      </c>
      <c r="H241">
        <v>1961</v>
      </c>
      <c r="I241">
        <v>26.26</v>
      </c>
      <c r="J241">
        <v>24</v>
      </c>
      <c r="K241">
        <v>1.1299999999999999</v>
      </c>
      <c r="L241" t="s">
        <v>3435</v>
      </c>
    </row>
    <row r="242" spans="1:12">
      <c r="A242" t="s">
        <v>3431</v>
      </c>
      <c r="B242" t="s">
        <v>3432</v>
      </c>
      <c r="C242">
        <v>26</v>
      </c>
      <c r="D242" t="s">
        <v>3433</v>
      </c>
      <c r="E242" t="s">
        <v>3347</v>
      </c>
      <c r="F242" t="s">
        <v>3399</v>
      </c>
      <c r="G242">
        <v>1917</v>
      </c>
      <c r="H242">
        <v>1961</v>
      </c>
      <c r="I242">
        <v>28.36</v>
      </c>
      <c r="J242">
        <v>26</v>
      </c>
      <c r="K242">
        <v>1.18</v>
      </c>
      <c r="L242" t="s">
        <v>3435</v>
      </c>
    </row>
    <row r="243" spans="1:12">
      <c r="A243" t="s">
        <v>3431</v>
      </c>
      <c r="B243" t="s">
        <v>3432</v>
      </c>
      <c r="C243">
        <v>27</v>
      </c>
      <c r="D243" t="s">
        <v>3433</v>
      </c>
      <c r="E243" t="s">
        <v>3347</v>
      </c>
      <c r="F243" t="s">
        <v>3399</v>
      </c>
      <c r="G243">
        <v>1917</v>
      </c>
      <c r="H243">
        <v>1961</v>
      </c>
      <c r="I243">
        <v>29.4</v>
      </c>
      <c r="J243">
        <v>27</v>
      </c>
      <c r="K243">
        <v>1.2</v>
      </c>
      <c r="L243" t="s">
        <v>3435</v>
      </c>
    </row>
    <row r="244" spans="1:12">
      <c r="A244" t="s">
        <v>3431</v>
      </c>
      <c r="B244" t="s">
        <v>3432</v>
      </c>
      <c r="C244">
        <v>28</v>
      </c>
      <c r="D244" t="s">
        <v>3433</v>
      </c>
      <c r="E244" t="s">
        <v>3347</v>
      </c>
      <c r="F244" t="s">
        <v>3399</v>
      </c>
      <c r="G244">
        <v>1917</v>
      </c>
      <c r="H244">
        <v>1961</v>
      </c>
      <c r="I244">
        <v>30.44</v>
      </c>
      <c r="J244">
        <v>28</v>
      </c>
      <c r="K244">
        <v>1.22</v>
      </c>
      <c r="L244" t="s">
        <v>3435</v>
      </c>
    </row>
    <row r="245" spans="1:12">
      <c r="A245" t="s">
        <v>3431</v>
      </c>
      <c r="B245" t="s">
        <v>3432</v>
      </c>
      <c r="C245">
        <v>30</v>
      </c>
      <c r="D245" t="s">
        <v>3433</v>
      </c>
      <c r="E245" t="s">
        <v>3347</v>
      </c>
      <c r="F245" t="s">
        <v>3399</v>
      </c>
      <c r="G245">
        <v>1917</v>
      </c>
      <c r="H245">
        <v>1961</v>
      </c>
      <c r="I245">
        <v>32.520000000000003</v>
      </c>
      <c r="J245">
        <v>30</v>
      </c>
      <c r="K245">
        <v>1.26</v>
      </c>
      <c r="L245" t="s">
        <v>3435</v>
      </c>
    </row>
    <row r="246" spans="1:12">
      <c r="A246" t="s">
        <v>3431</v>
      </c>
      <c r="B246" t="s">
        <v>3432</v>
      </c>
      <c r="C246">
        <v>32</v>
      </c>
      <c r="D246" t="s">
        <v>3433</v>
      </c>
      <c r="E246" t="s">
        <v>3347</v>
      </c>
      <c r="F246" t="s">
        <v>3399</v>
      </c>
      <c r="G246">
        <v>1917</v>
      </c>
      <c r="H246">
        <v>1961</v>
      </c>
      <c r="I246">
        <v>34.619999999999997</v>
      </c>
      <c r="J246">
        <v>32</v>
      </c>
      <c r="K246">
        <v>1.31</v>
      </c>
      <c r="L246" t="s">
        <v>3435</v>
      </c>
    </row>
    <row r="247" spans="1:12">
      <c r="A247" t="s">
        <v>3431</v>
      </c>
      <c r="B247" t="s">
        <v>3432</v>
      </c>
      <c r="C247">
        <v>33</v>
      </c>
      <c r="D247" t="s">
        <v>3433</v>
      </c>
      <c r="E247" t="s">
        <v>3347</v>
      </c>
      <c r="F247" t="s">
        <v>3399</v>
      </c>
      <c r="G247">
        <v>1917</v>
      </c>
      <c r="H247">
        <v>1961</v>
      </c>
      <c r="I247">
        <v>35.659999999999997</v>
      </c>
      <c r="J247">
        <v>33</v>
      </c>
      <c r="K247">
        <v>1.33</v>
      </c>
      <c r="L247" t="s">
        <v>3435</v>
      </c>
    </row>
    <row r="248" spans="1:12">
      <c r="A248" t="s">
        <v>3431</v>
      </c>
      <c r="B248" t="s">
        <v>3432</v>
      </c>
      <c r="C248">
        <v>36</v>
      </c>
      <c r="D248" t="s">
        <v>3433</v>
      </c>
      <c r="E248" t="s">
        <v>3347</v>
      </c>
      <c r="F248" t="s">
        <v>3399</v>
      </c>
      <c r="G248">
        <v>1917</v>
      </c>
      <c r="H248">
        <v>1961</v>
      </c>
      <c r="I248">
        <v>38.76</v>
      </c>
      <c r="J248">
        <v>36</v>
      </c>
      <c r="K248">
        <v>1.38</v>
      </c>
      <c r="L248" t="s">
        <v>3435</v>
      </c>
    </row>
    <row r="249" spans="1:12">
      <c r="A249" t="s">
        <v>3431</v>
      </c>
      <c r="B249" t="s">
        <v>3432</v>
      </c>
      <c r="C249">
        <v>38</v>
      </c>
      <c r="D249" t="s">
        <v>3433</v>
      </c>
      <c r="E249" t="s">
        <v>3347</v>
      </c>
      <c r="F249" t="s">
        <v>3399</v>
      </c>
      <c r="G249">
        <v>1917</v>
      </c>
      <c r="H249">
        <v>1961</v>
      </c>
      <c r="I249">
        <v>40.840000000000003</v>
      </c>
      <c r="J249">
        <v>38</v>
      </c>
      <c r="K249">
        <v>1.42</v>
      </c>
      <c r="L249" t="s">
        <v>3435</v>
      </c>
    </row>
    <row r="250" spans="1:12">
      <c r="A250" t="s">
        <v>3431</v>
      </c>
      <c r="B250" t="s">
        <v>3432</v>
      </c>
      <c r="C250">
        <v>39</v>
      </c>
      <c r="D250" t="s">
        <v>3433</v>
      </c>
      <c r="E250" t="s">
        <v>3347</v>
      </c>
      <c r="F250" t="s">
        <v>3399</v>
      </c>
      <c r="G250">
        <v>1917</v>
      </c>
      <c r="H250">
        <v>1961</v>
      </c>
      <c r="I250">
        <v>41.88</v>
      </c>
      <c r="J250">
        <v>39</v>
      </c>
      <c r="K250">
        <v>1.44</v>
      </c>
      <c r="L250" t="s">
        <v>3435</v>
      </c>
    </row>
    <row r="251" spans="1:12">
      <c r="A251" t="s">
        <v>3431</v>
      </c>
      <c r="B251" t="s">
        <v>3432</v>
      </c>
      <c r="C251">
        <v>40</v>
      </c>
      <c r="D251" t="s">
        <v>3433</v>
      </c>
      <c r="E251" t="s">
        <v>3347</v>
      </c>
      <c r="F251" t="s">
        <v>3399</v>
      </c>
      <c r="G251">
        <v>1917</v>
      </c>
      <c r="H251">
        <v>1961</v>
      </c>
      <c r="I251">
        <v>42.92</v>
      </c>
      <c r="J251">
        <v>40</v>
      </c>
      <c r="K251">
        <v>1.46</v>
      </c>
      <c r="L251" t="s">
        <v>3435</v>
      </c>
    </row>
    <row r="252" spans="1:12">
      <c r="A252" t="s">
        <v>3431</v>
      </c>
      <c r="B252" t="s">
        <v>3432</v>
      </c>
      <c r="C252">
        <v>42</v>
      </c>
      <c r="D252" t="s">
        <v>3433</v>
      </c>
      <c r="E252" t="s">
        <v>3347</v>
      </c>
      <c r="F252" t="s">
        <v>3399</v>
      </c>
      <c r="G252">
        <v>1917</v>
      </c>
      <c r="H252">
        <v>1961</v>
      </c>
      <c r="I252">
        <v>45</v>
      </c>
      <c r="J252">
        <v>42</v>
      </c>
      <c r="K252">
        <v>1.5</v>
      </c>
      <c r="L252" t="s">
        <v>3435</v>
      </c>
    </row>
    <row r="253" spans="1:12">
      <c r="A253" t="s">
        <v>3431</v>
      </c>
      <c r="B253" t="s">
        <v>3432</v>
      </c>
      <c r="C253">
        <v>44</v>
      </c>
      <c r="D253" t="s">
        <v>3433</v>
      </c>
      <c r="E253" t="s">
        <v>3347</v>
      </c>
      <c r="F253" t="s">
        <v>3399</v>
      </c>
      <c r="G253">
        <v>1917</v>
      </c>
      <c r="H253">
        <v>1961</v>
      </c>
      <c r="I253">
        <v>4.0599999999999996</v>
      </c>
      <c r="J253">
        <v>1</v>
      </c>
      <c r="K253">
        <v>1.53</v>
      </c>
      <c r="L253" t="s">
        <v>3435</v>
      </c>
    </row>
    <row r="254" spans="1:12">
      <c r="A254" t="s">
        <v>3431</v>
      </c>
      <c r="B254" t="s">
        <v>3432</v>
      </c>
      <c r="C254">
        <v>45</v>
      </c>
      <c r="D254" t="s">
        <v>3433</v>
      </c>
      <c r="E254" t="s">
        <v>3347</v>
      </c>
      <c r="F254" t="s">
        <v>3399</v>
      </c>
      <c r="G254">
        <v>1917</v>
      </c>
      <c r="H254">
        <v>1961</v>
      </c>
      <c r="I254">
        <v>48.1</v>
      </c>
      <c r="J254">
        <v>45</v>
      </c>
      <c r="K254">
        <v>1.55</v>
      </c>
      <c r="L254" t="s">
        <v>3435</v>
      </c>
    </row>
    <row r="255" spans="1:12">
      <c r="A255" t="s">
        <v>3431</v>
      </c>
      <c r="B255" t="s">
        <v>3432</v>
      </c>
      <c r="C255">
        <v>46</v>
      </c>
      <c r="D255" t="s">
        <v>3433</v>
      </c>
      <c r="E255" t="s">
        <v>3347</v>
      </c>
      <c r="F255" t="s">
        <v>3399</v>
      </c>
      <c r="G255">
        <v>1917</v>
      </c>
      <c r="H255">
        <v>1961</v>
      </c>
      <c r="I255">
        <v>49.14</v>
      </c>
      <c r="J255">
        <v>46</v>
      </c>
      <c r="K255">
        <v>1.57</v>
      </c>
      <c r="L255" t="s">
        <v>3435</v>
      </c>
    </row>
    <row r="256" spans="1:12">
      <c r="A256" t="s">
        <v>3431</v>
      </c>
      <c r="B256" t="s">
        <v>3432</v>
      </c>
      <c r="C256">
        <v>48</v>
      </c>
      <c r="D256" t="s">
        <v>3433</v>
      </c>
      <c r="E256" t="s">
        <v>3347</v>
      </c>
      <c r="F256" t="s">
        <v>3399</v>
      </c>
      <c r="G256">
        <v>1917</v>
      </c>
      <c r="H256">
        <v>1961</v>
      </c>
      <c r="I256">
        <v>51.2</v>
      </c>
      <c r="J256">
        <v>48</v>
      </c>
      <c r="K256">
        <v>1.6</v>
      </c>
      <c r="L256" t="s">
        <v>3435</v>
      </c>
    </row>
    <row r="257" spans="1:12">
      <c r="A257" t="s">
        <v>3431</v>
      </c>
      <c r="B257" t="s">
        <v>3432</v>
      </c>
      <c r="C257">
        <v>1.5</v>
      </c>
      <c r="D257" t="s">
        <v>3436</v>
      </c>
      <c r="E257" t="s">
        <v>3342</v>
      </c>
      <c r="F257" t="s">
        <v>3434</v>
      </c>
      <c r="G257">
        <v>1917</v>
      </c>
      <c r="H257">
        <v>1961</v>
      </c>
      <c r="I257">
        <v>55.88</v>
      </c>
      <c r="J257">
        <v>38.1</v>
      </c>
      <c r="K257">
        <v>8.89</v>
      </c>
      <c r="L257" t="s">
        <v>3435</v>
      </c>
    </row>
    <row r="258" spans="1:12">
      <c r="A258" t="s">
        <v>3431</v>
      </c>
      <c r="B258" t="s">
        <v>3432</v>
      </c>
      <c r="C258">
        <v>2</v>
      </c>
      <c r="D258" t="s">
        <v>3436</v>
      </c>
      <c r="E258" t="s">
        <v>3342</v>
      </c>
      <c r="F258" t="s">
        <v>3434</v>
      </c>
      <c r="G258">
        <v>1917</v>
      </c>
      <c r="H258">
        <v>1961</v>
      </c>
      <c r="I258">
        <v>69.088000000000008</v>
      </c>
      <c r="J258">
        <v>50.8</v>
      </c>
      <c r="K258">
        <v>9.1439999999999984</v>
      </c>
      <c r="L258" t="s">
        <v>3435</v>
      </c>
    </row>
    <row r="259" spans="1:12">
      <c r="A259" t="s">
        <v>3431</v>
      </c>
      <c r="B259" t="s">
        <v>3432</v>
      </c>
      <c r="C259">
        <v>2.5</v>
      </c>
      <c r="D259" t="s">
        <v>3436</v>
      </c>
      <c r="E259" t="s">
        <v>3342</v>
      </c>
      <c r="F259" t="s">
        <v>3434</v>
      </c>
      <c r="G259">
        <v>1917</v>
      </c>
      <c r="H259">
        <v>1961</v>
      </c>
      <c r="I259">
        <v>82.296000000000006</v>
      </c>
      <c r="J259">
        <v>63.5</v>
      </c>
      <c r="K259">
        <v>9.3979999999999997</v>
      </c>
      <c r="L259" t="s">
        <v>3435</v>
      </c>
    </row>
    <row r="260" spans="1:12">
      <c r="A260" t="s">
        <v>3431</v>
      </c>
      <c r="B260" t="s">
        <v>3432</v>
      </c>
      <c r="C260">
        <v>3</v>
      </c>
      <c r="D260" t="s">
        <v>3436</v>
      </c>
      <c r="E260" t="s">
        <v>3342</v>
      </c>
      <c r="F260" t="s">
        <v>3434</v>
      </c>
      <c r="G260">
        <v>1917</v>
      </c>
      <c r="H260">
        <v>1961</v>
      </c>
      <c r="I260">
        <v>95.503999999999991</v>
      </c>
      <c r="J260">
        <v>76.2</v>
      </c>
      <c r="K260">
        <v>9.6519999999999992</v>
      </c>
      <c r="L260" t="s">
        <v>3435</v>
      </c>
    </row>
    <row r="261" spans="1:12">
      <c r="A261" t="s">
        <v>3431</v>
      </c>
      <c r="B261" t="s">
        <v>3432</v>
      </c>
      <c r="C261">
        <v>4</v>
      </c>
      <c r="D261" t="s">
        <v>3436</v>
      </c>
      <c r="E261" t="s">
        <v>3342</v>
      </c>
      <c r="F261" t="s">
        <v>3434</v>
      </c>
      <c r="G261">
        <v>1917</v>
      </c>
      <c r="H261">
        <v>1961</v>
      </c>
      <c r="I261">
        <v>121.92</v>
      </c>
      <c r="J261">
        <v>102.108</v>
      </c>
      <c r="K261">
        <v>9.9060000000000006</v>
      </c>
      <c r="L261" t="s">
        <v>3435</v>
      </c>
    </row>
    <row r="262" spans="1:12">
      <c r="A262" t="s">
        <v>3431</v>
      </c>
      <c r="B262" t="s">
        <v>3432</v>
      </c>
      <c r="C262">
        <v>5</v>
      </c>
      <c r="D262" t="s">
        <v>3436</v>
      </c>
      <c r="E262" t="s">
        <v>3342</v>
      </c>
      <c r="F262" t="s">
        <v>3434</v>
      </c>
      <c r="G262">
        <v>1917</v>
      </c>
      <c r="H262">
        <v>1961</v>
      </c>
      <c r="I262">
        <v>149.86000000000001</v>
      </c>
      <c r="J262">
        <v>129.03200000000001</v>
      </c>
      <c r="K262">
        <v>10.414</v>
      </c>
      <c r="L262" t="s">
        <v>3435</v>
      </c>
    </row>
    <row r="263" spans="1:12">
      <c r="A263" t="s">
        <v>3431</v>
      </c>
      <c r="B263" t="s">
        <v>3432</v>
      </c>
      <c r="C263">
        <v>6</v>
      </c>
      <c r="D263" t="s">
        <v>3436</v>
      </c>
      <c r="E263" t="s">
        <v>3342</v>
      </c>
      <c r="F263" t="s">
        <v>3434</v>
      </c>
      <c r="G263">
        <v>1917</v>
      </c>
      <c r="H263">
        <v>1961</v>
      </c>
      <c r="I263">
        <v>177.292</v>
      </c>
      <c r="J263">
        <v>155.44800000000001</v>
      </c>
      <c r="K263">
        <v>10.922000000000001</v>
      </c>
      <c r="L263" t="s">
        <v>3435</v>
      </c>
    </row>
    <row r="264" spans="1:12">
      <c r="A264" t="s">
        <v>3431</v>
      </c>
      <c r="B264" t="s">
        <v>3432</v>
      </c>
      <c r="C264">
        <v>7</v>
      </c>
      <c r="D264" t="s">
        <v>3436</v>
      </c>
      <c r="E264" t="s">
        <v>3342</v>
      </c>
      <c r="F264" t="s">
        <v>3434</v>
      </c>
      <c r="G264">
        <v>1917</v>
      </c>
      <c r="H264">
        <v>1961</v>
      </c>
      <c r="I264">
        <v>204.72399999999999</v>
      </c>
      <c r="J264">
        <v>181.864</v>
      </c>
      <c r="K264">
        <v>11.43</v>
      </c>
      <c r="L264" t="s">
        <v>3435</v>
      </c>
    </row>
    <row r="265" spans="1:12">
      <c r="A265" t="s">
        <v>3431</v>
      </c>
      <c r="B265" t="s">
        <v>3432</v>
      </c>
      <c r="C265">
        <v>8</v>
      </c>
      <c r="D265" t="s">
        <v>3436</v>
      </c>
      <c r="E265" t="s">
        <v>3342</v>
      </c>
      <c r="F265" t="s">
        <v>3434</v>
      </c>
      <c r="G265">
        <v>1917</v>
      </c>
      <c r="H265">
        <v>1961</v>
      </c>
      <c r="I265">
        <v>232.15600000000001</v>
      </c>
      <c r="J265">
        <v>208.28</v>
      </c>
      <c r="K265">
        <v>11.938000000000001</v>
      </c>
      <c r="L265" t="s">
        <v>3435</v>
      </c>
    </row>
    <row r="266" spans="1:12">
      <c r="A266" t="s">
        <v>3431</v>
      </c>
      <c r="B266" t="s">
        <v>3432</v>
      </c>
      <c r="C266">
        <v>9</v>
      </c>
      <c r="D266" t="s">
        <v>3436</v>
      </c>
      <c r="E266" t="s">
        <v>3342</v>
      </c>
      <c r="F266" t="s">
        <v>3434</v>
      </c>
      <c r="G266">
        <v>1917</v>
      </c>
      <c r="H266">
        <v>1961</v>
      </c>
      <c r="I266">
        <v>259.08</v>
      </c>
      <c r="J266">
        <v>234.18799999999999</v>
      </c>
      <c r="K266">
        <v>12.446</v>
      </c>
      <c r="L266" t="s">
        <v>3435</v>
      </c>
    </row>
    <row r="267" spans="1:12">
      <c r="A267" t="s">
        <v>3431</v>
      </c>
      <c r="B267" t="s">
        <v>3432</v>
      </c>
      <c r="C267">
        <v>10</v>
      </c>
      <c r="D267" t="s">
        <v>3436</v>
      </c>
      <c r="E267" t="s">
        <v>3342</v>
      </c>
      <c r="F267" t="s">
        <v>3434</v>
      </c>
      <c r="G267">
        <v>1917</v>
      </c>
      <c r="H267">
        <v>1961</v>
      </c>
      <c r="I267">
        <v>286.00400000000002</v>
      </c>
      <c r="J267">
        <v>259.58800000000002</v>
      </c>
      <c r="K267">
        <v>13.208</v>
      </c>
      <c r="L267" t="s">
        <v>3435</v>
      </c>
    </row>
    <row r="268" spans="1:12">
      <c r="A268" t="s">
        <v>3431</v>
      </c>
      <c r="B268" t="s">
        <v>3432</v>
      </c>
      <c r="C268">
        <v>12</v>
      </c>
      <c r="D268" t="s">
        <v>3436</v>
      </c>
      <c r="E268" t="s">
        <v>3342</v>
      </c>
      <c r="F268" t="s">
        <v>3434</v>
      </c>
      <c r="G268">
        <v>1917</v>
      </c>
      <c r="H268">
        <v>1961</v>
      </c>
      <c r="I268">
        <v>333.75599999999997</v>
      </c>
      <c r="J268">
        <v>304.8</v>
      </c>
      <c r="K268">
        <v>14.478</v>
      </c>
      <c r="L268" t="s">
        <v>3435</v>
      </c>
    </row>
    <row r="269" spans="1:12">
      <c r="A269" t="s">
        <v>3431</v>
      </c>
      <c r="B269" t="s">
        <v>3432</v>
      </c>
      <c r="C269">
        <v>14</v>
      </c>
      <c r="D269" t="s">
        <v>3436</v>
      </c>
      <c r="E269" t="s">
        <v>3342</v>
      </c>
      <c r="F269" t="s">
        <v>3434</v>
      </c>
      <c r="G269">
        <v>1917</v>
      </c>
      <c r="H269">
        <v>1961</v>
      </c>
      <c r="I269">
        <v>386.58800000000002</v>
      </c>
      <c r="J269">
        <v>355.6</v>
      </c>
      <c r="K269">
        <v>15.494</v>
      </c>
      <c r="L269" t="s">
        <v>3435</v>
      </c>
    </row>
    <row r="270" spans="1:12">
      <c r="A270" t="s">
        <v>3431</v>
      </c>
      <c r="B270" t="s">
        <v>3432</v>
      </c>
      <c r="C270">
        <v>15</v>
      </c>
      <c r="D270" t="s">
        <v>3436</v>
      </c>
      <c r="E270" t="s">
        <v>3342</v>
      </c>
      <c r="F270" t="s">
        <v>3434</v>
      </c>
      <c r="G270">
        <v>1917</v>
      </c>
      <c r="H270">
        <v>1961</v>
      </c>
      <c r="I270">
        <v>413.00400000000002</v>
      </c>
      <c r="J270">
        <v>381</v>
      </c>
      <c r="K270">
        <v>16.001999999999999</v>
      </c>
      <c r="L270" t="s">
        <v>3435</v>
      </c>
    </row>
    <row r="271" spans="1:12">
      <c r="A271" t="s">
        <v>3431</v>
      </c>
      <c r="B271" t="s">
        <v>3432</v>
      </c>
      <c r="C271">
        <v>16</v>
      </c>
      <c r="D271" t="s">
        <v>3436</v>
      </c>
      <c r="E271" t="s">
        <v>3342</v>
      </c>
      <c r="F271" t="s">
        <v>3434</v>
      </c>
      <c r="G271">
        <v>1917</v>
      </c>
      <c r="H271">
        <v>1961</v>
      </c>
      <c r="I271">
        <v>439.42</v>
      </c>
      <c r="J271">
        <v>406.4</v>
      </c>
      <c r="K271">
        <v>16.510000000000002</v>
      </c>
      <c r="L271" t="s">
        <v>3435</v>
      </c>
    </row>
    <row r="272" spans="1:12">
      <c r="A272" t="s">
        <v>3431</v>
      </c>
      <c r="B272" t="s">
        <v>3432</v>
      </c>
      <c r="C272">
        <v>18</v>
      </c>
      <c r="D272" t="s">
        <v>3436</v>
      </c>
      <c r="E272" t="s">
        <v>3342</v>
      </c>
      <c r="F272" t="s">
        <v>3434</v>
      </c>
      <c r="G272">
        <v>1917</v>
      </c>
      <c r="H272">
        <v>1961</v>
      </c>
      <c r="I272">
        <v>492.25200000000001</v>
      </c>
      <c r="J272">
        <v>457.2</v>
      </c>
      <c r="K272">
        <v>17.526</v>
      </c>
      <c r="L272" t="s">
        <v>3435</v>
      </c>
    </row>
    <row r="273" spans="1:12">
      <c r="A273" t="s">
        <v>3431</v>
      </c>
      <c r="B273" t="s">
        <v>3432</v>
      </c>
      <c r="C273">
        <v>20</v>
      </c>
      <c r="D273" t="s">
        <v>3436</v>
      </c>
      <c r="E273" t="s">
        <v>3342</v>
      </c>
      <c r="F273" t="s">
        <v>3434</v>
      </c>
      <c r="G273">
        <v>1917</v>
      </c>
      <c r="H273">
        <v>1961</v>
      </c>
      <c r="I273">
        <v>545.08399999999995</v>
      </c>
      <c r="J273">
        <v>508</v>
      </c>
      <c r="K273">
        <v>18.542000000000002</v>
      </c>
      <c r="L273" t="s">
        <v>3435</v>
      </c>
    </row>
    <row r="274" spans="1:12">
      <c r="A274" t="s">
        <v>3431</v>
      </c>
      <c r="B274" t="s">
        <v>3432</v>
      </c>
      <c r="C274">
        <v>21</v>
      </c>
      <c r="D274" t="s">
        <v>3436</v>
      </c>
      <c r="E274" t="s">
        <v>3342</v>
      </c>
      <c r="F274" t="s">
        <v>3434</v>
      </c>
      <c r="G274">
        <v>1917</v>
      </c>
      <c r="H274">
        <v>1961</v>
      </c>
      <c r="I274">
        <v>571.5</v>
      </c>
      <c r="J274">
        <v>533.4</v>
      </c>
      <c r="K274">
        <v>19.05</v>
      </c>
      <c r="L274" t="s">
        <v>3435</v>
      </c>
    </row>
    <row r="275" spans="1:12">
      <c r="A275" t="s">
        <v>3431</v>
      </c>
      <c r="B275" t="s">
        <v>3432</v>
      </c>
      <c r="C275">
        <v>22</v>
      </c>
      <c r="D275" t="s">
        <v>3436</v>
      </c>
      <c r="E275" t="s">
        <v>3342</v>
      </c>
      <c r="F275" t="s">
        <v>3434</v>
      </c>
      <c r="G275">
        <v>1917</v>
      </c>
      <c r="H275">
        <v>1961</v>
      </c>
      <c r="I275">
        <v>597.91599999999994</v>
      </c>
      <c r="J275">
        <v>558.79999999999995</v>
      </c>
      <c r="K275">
        <v>19.558</v>
      </c>
      <c r="L275" t="s">
        <v>3435</v>
      </c>
    </row>
    <row r="276" spans="1:12">
      <c r="A276" t="s">
        <v>3431</v>
      </c>
      <c r="B276" t="s">
        <v>3432</v>
      </c>
      <c r="C276">
        <v>24</v>
      </c>
      <c r="D276" t="s">
        <v>3436</v>
      </c>
      <c r="E276" t="s">
        <v>3342</v>
      </c>
      <c r="F276" t="s">
        <v>3434</v>
      </c>
      <c r="G276">
        <v>1917</v>
      </c>
      <c r="H276">
        <v>1961</v>
      </c>
      <c r="I276">
        <v>650.24</v>
      </c>
      <c r="J276">
        <v>609.6</v>
      </c>
      <c r="K276">
        <v>20.32</v>
      </c>
      <c r="L276" t="s">
        <v>3435</v>
      </c>
    </row>
    <row r="277" spans="1:12">
      <c r="A277" t="s">
        <v>3431</v>
      </c>
      <c r="B277" t="s">
        <v>3432</v>
      </c>
      <c r="C277">
        <v>26</v>
      </c>
      <c r="D277" t="s">
        <v>3436</v>
      </c>
      <c r="E277" t="s">
        <v>3342</v>
      </c>
      <c r="F277" t="s">
        <v>3434</v>
      </c>
      <c r="G277">
        <v>1917</v>
      </c>
      <c r="H277">
        <v>1961</v>
      </c>
      <c r="I277">
        <v>702.56399999999996</v>
      </c>
      <c r="J277">
        <v>660.4</v>
      </c>
      <c r="K277">
        <v>21.082000000000001</v>
      </c>
      <c r="L277" t="s">
        <v>3435</v>
      </c>
    </row>
    <row r="278" spans="1:12">
      <c r="A278" t="s">
        <v>3431</v>
      </c>
      <c r="B278" t="s">
        <v>3432</v>
      </c>
      <c r="C278">
        <v>27</v>
      </c>
      <c r="D278" t="s">
        <v>3436</v>
      </c>
      <c r="E278" t="s">
        <v>3342</v>
      </c>
      <c r="F278" t="s">
        <v>3434</v>
      </c>
      <c r="G278">
        <v>1917</v>
      </c>
      <c r="H278">
        <v>1961</v>
      </c>
      <c r="I278">
        <v>728.98</v>
      </c>
      <c r="J278">
        <v>685.8</v>
      </c>
      <c r="K278">
        <v>21.59</v>
      </c>
      <c r="L278" t="s">
        <v>3435</v>
      </c>
    </row>
    <row r="279" spans="1:12">
      <c r="A279" t="s">
        <v>3431</v>
      </c>
      <c r="B279" t="s">
        <v>3432</v>
      </c>
      <c r="C279">
        <v>28</v>
      </c>
      <c r="D279" t="s">
        <v>3436</v>
      </c>
      <c r="E279" t="s">
        <v>3342</v>
      </c>
      <c r="F279" t="s">
        <v>3434</v>
      </c>
      <c r="G279">
        <v>1917</v>
      </c>
      <c r="H279">
        <v>1961</v>
      </c>
      <c r="I279">
        <v>754.88799999999992</v>
      </c>
      <c r="J279">
        <v>711.2</v>
      </c>
      <c r="K279">
        <v>21.844000000000001</v>
      </c>
      <c r="L279" t="s">
        <v>3435</v>
      </c>
    </row>
    <row r="280" spans="1:12">
      <c r="A280" t="s">
        <v>3431</v>
      </c>
      <c r="B280" t="s">
        <v>3432</v>
      </c>
      <c r="C280">
        <v>30</v>
      </c>
      <c r="D280" t="s">
        <v>3436</v>
      </c>
      <c r="E280" t="s">
        <v>3342</v>
      </c>
      <c r="F280" t="s">
        <v>3434</v>
      </c>
      <c r="G280">
        <v>1917</v>
      </c>
      <c r="H280">
        <v>1961</v>
      </c>
      <c r="I280">
        <v>807.21199999999999</v>
      </c>
      <c r="J280">
        <v>762</v>
      </c>
      <c r="K280">
        <v>22.606000000000002</v>
      </c>
      <c r="L280" t="s">
        <v>3435</v>
      </c>
    </row>
    <row r="281" spans="1:12">
      <c r="A281" t="s">
        <v>3431</v>
      </c>
      <c r="B281" t="s">
        <v>3432</v>
      </c>
      <c r="C281">
        <v>32</v>
      </c>
      <c r="D281" t="s">
        <v>3436</v>
      </c>
      <c r="E281" t="s">
        <v>3342</v>
      </c>
      <c r="F281" t="s">
        <v>3434</v>
      </c>
      <c r="G281">
        <v>1917</v>
      </c>
      <c r="H281">
        <v>1961</v>
      </c>
      <c r="I281">
        <v>859.53600000000006</v>
      </c>
      <c r="J281">
        <v>812.8</v>
      </c>
      <c r="K281">
        <v>23.367999999999999</v>
      </c>
      <c r="L281" t="s">
        <v>3435</v>
      </c>
    </row>
    <row r="282" spans="1:12">
      <c r="A282" t="s">
        <v>3431</v>
      </c>
      <c r="B282" t="s">
        <v>3432</v>
      </c>
      <c r="C282">
        <v>33</v>
      </c>
      <c r="D282" t="s">
        <v>3436</v>
      </c>
      <c r="E282" t="s">
        <v>3342</v>
      </c>
      <c r="F282" t="s">
        <v>3434</v>
      </c>
      <c r="G282">
        <v>1917</v>
      </c>
      <c r="H282">
        <v>1961</v>
      </c>
      <c r="I282">
        <v>885.952</v>
      </c>
      <c r="J282">
        <v>838.2</v>
      </c>
      <c r="K282">
        <v>23.876000000000001</v>
      </c>
      <c r="L282" t="s">
        <v>3435</v>
      </c>
    </row>
    <row r="283" spans="1:12">
      <c r="A283" t="s">
        <v>3431</v>
      </c>
      <c r="B283" t="s">
        <v>3432</v>
      </c>
      <c r="C283">
        <v>36</v>
      </c>
      <c r="D283" t="s">
        <v>3436</v>
      </c>
      <c r="E283" t="s">
        <v>3342</v>
      </c>
      <c r="F283" t="s">
        <v>3434</v>
      </c>
      <c r="G283">
        <v>1917</v>
      </c>
      <c r="H283">
        <v>1961</v>
      </c>
      <c r="I283">
        <v>964.18399999999997</v>
      </c>
      <c r="J283">
        <v>914.4</v>
      </c>
      <c r="K283">
        <v>24.891999999999999</v>
      </c>
      <c r="L283" t="s">
        <v>3435</v>
      </c>
    </row>
    <row r="284" spans="1:12">
      <c r="A284" t="s">
        <v>3431</v>
      </c>
      <c r="B284" t="s">
        <v>3432</v>
      </c>
      <c r="C284">
        <v>38</v>
      </c>
      <c r="D284" t="s">
        <v>3436</v>
      </c>
      <c r="E284" t="s">
        <v>3342</v>
      </c>
      <c r="F284" t="s">
        <v>3434</v>
      </c>
      <c r="G284">
        <v>1917</v>
      </c>
      <c r="H284">
        <v>1961</v>
      </c>
      <c r="I284">
        <v>1016.508</v>
      </c>
      <c r="J284">
        <v>965.2</v>
      </c>
      <c r="K284">
        <v>25.654</v>
      </c>
      <c r="L284" t="s">
        <v>3435</v>
      </c>
    </row>
    <row r="285" spans="1:12">
      <c r="A285" t="s">
        <v>3431</v>
      </c>
      <c r="B285" t="s">
        <v>3432</v>
      </c>
      <c r="C285">
        <v>39</v>
      </c>
      <c r="D285" t="s">
        <v>3436</v>
      </c>
      <c r="E285" t="s">
        <v>3342</v>
      </c>
      <c r="F285" t="s">
        <v>3434</v>
      </c>
      <c r="G285">
        <v>1917</v>
      </c>
      <c r="H285">
        <v>1961</v>
      </c>
      <c r="I285">
        <v>1042.4159999999999</v>
      </c>
      <c r="J285">
        <v>990.6</v>
      </c>
      <c r="K285">
        <v>25.908000000000001</v>
      </c>
      <c r="L285" t="s">
        <v>3435</v>
      </c>
    </row>
    <row r="286" spans="1:12">
      <c r="A286" t="s">
        <v>3431</v>
      </c>
      <c r="B286" t="s">
        <v>3432</v>
      </c>
      <c r="C286">
        <v>40</v>
      </c>
      <c r="D286" t="s">
        <v>3436</v>
      </c>
      <c r="E286" t="s">
        <v>3342</v>
      </c>
      <c r="F286" t="s">
        <v>3434</v>
      </c>
      <c r="G286">
        <v>1917</v>
      </c>
      <c r="H286">
        <v>1961</v>
      </c>
      <c r="I286">
        <v>1068.3240000000001</v>
      </c>
      <c r="J286">
        <v>1016</v>
      </c>
      <c r="K286">
        <v>26.161999999999999</v>
      </c>
      <c r="L286" t="s">
        <v>3435</v>
      </c>
    </row>
    <row r="287" spans="1:12">
      <c r="A287" t="s">
        <v>3431</v>
      </c>
      <c r="B287" t="s">
        <v>3432</v>
      </c>
      <c r="C287">
        <v>42</v>
      </c>
      <c r="D287" t="s">
        <v>3436</v>
      </c>
      <c r="E287" t="s">
        <v>3342</v>
      </c>
      <c r="F287" t="s">
        <v>3434</v>
      </c>
      <c r="G287">
        <v>1917</v>
      </c>
      <c r="H287">
        <v>1961</v>
      </c>
      <c r="I287">
        <v>1120.6479999999999</v>
      </c>
      <c r="J287">
        <v>1066.8</v>
      </c>
      <c r="K287">
        <v>26.923999999999999</v>
      </c>
      <c r="L287" t="s">
        <v>3435</v>
      </c>
    </row>
    <row r="288" spans="1:12">
      <c r="A288" t="s">
        <v>3431</v>
      </c>
      <c r="B288" t="s">
        <v>3432</v>
      </c>
      <c r="C288">
        <v>44</v>
      </c>
      <c r="D288" t="s">
        <v>3436</v>
      </c>
      <c r="E288" t="s">
        <v>3342</v>
      </c>
      <c r="F288" t="s">
        <v>3434</v>
      </c>
      <c r="G288">
        <v>1917</v>
      </c>
      <c r="H288">
        <v>1961</v>
      </c>
      <c r="I288">
        <v>1172.4639999999999</v>
      </c>
      <c r="J288">
        <v>1117.5999999999999</v>
      </c>
      <c r="K288">
        <v>27.431999999999999</v>
      </c>
      <c r="L288" t="s">
        <v>3435</v>
      </c>
    </row>
    <row r="289" spans="1:12">
      <c r="A289" t="s">
        <v>3431</v>
      </c>
      <c r="B289" t="s">
        <v>3432</v>
      </c>
      <c r="C289">
        <v>45</v>
      </c>
      <c r="D289" t="s">
        <v>3436</v>
      </c>
      <c r="E289" t="s">
        <v>3342</v>
      </c>
      <c r="F289" t="s">
        <v>3434</v>
      </c>
      <c r="G289">
        <v>1917</v>
      </c>
      <c r="H289">
        <v>1961</v>
      </c>
      <c r="I289">
        <v>1198.3720000000001</v>
      </c>
      <c r="J289">
        <v>1143</v>
      </c>
      <c r="K289">
        <v>27.686</v>
      </c>
      <c r="L289" t="s">
        <v>3435</v>
      </c>
    </row>
    <row r="290" spans="1:12">
      <c r="A290" t="s">
        <v>3431</v>
      </c>
      <c r="B290" t="s">
        <v>3432</v>
      </c>
      <c r="C290">
        <v>46</v>
      </c>
      <c r="D290" t="s">
        <v>3436</v>
      </c>
      <c r="E290" t="s">
        <v>3342</v>
      </c>
      <c r="F290" t="s">
        <v>3434</v>
      </c>
      <c r="G290">
        <v>1917</v>
      </c>
      <c r="H290">
        <v>1961</v>
      </c>
      <c r="I290">
        <v>1224.788</v>
      </c>
      <c r="J290">
        <v>1168.4000000000001</v>
      </c>
      <c r="K290">
        <v>28.193999999999999</v>
      </c>
      <c r="L290" t="s">
        <v>3435</v>
      </c>
    </row>
    <row r="291" spans="1:12">
      <c r="A291" t="s">
        <v>3431</v>
      </c>
      <c r="B291" t="s">
        <v>3432</v>
      </c>
      <c r="C291">
        <v>48</v>
      </c>
      <c r="D291" t="s">
        <v>3436</v>
      </c>
      <c r="E291" t="s">
        <v>3342</v>
      </c>
      <c r="F291" t="s">
        <v>3434</v>
      </c>
      <c r="G291">
        <v>1917</v>
      </c>
      <c r="H291">
        <v>1961</v>
      </c>
      <c r="I291">
        <v>1276.604</v>
      </c>
      <c r="J291">
        <v>1219.2</v>
      </c>
      <c r="K291">
        <v>28.701999999999991</v>
      </c>
      <c r="L291" t="s">
        <v>3435</v>
      </c>
    </row>
    <row r="292" spans="1:12">
      <c r="A292" t="s">
        <v>3431</v>
      </c>
      <c r="B292" t="s">
        <v>3432</v>
      </c>
      <c r="C292">
        <v>1.5</v>
      </c>
      <c r="D292" t="s">
        <v>3436</v>
      </c>
      <c r="E292" t="s">
        <v>3345</v>
      </c>
      <c r="F292" t="s">
        <v>3398</v>
      </c>
      <c r="G292">
        <v>1917</v>
      </c>
      <c r="H292">
        <v>1961</v>
      </c>
      <c r="I292">
        <v>55.88</v>
      </c>
      <c r="J292">
        <v>38.1</v>
      </c>
      <c r="K292">
        <v>8.89</v>
      </c>
      <c r="L292" t="s">
        <v>3435</v>
      </c>
    </row>
    <row r="293" spans="1:12">
      <c r="A293" t="s">
        <v>3431</v>
      </c>
      <c r="B293" t="s">
        <v>3432</v>
      </c>
      <c r="C293">
        <v>2</v>
      </c>
      <c r="D293" t="s">
        <v>3436</v>
      </c>
      <c r="E293" t="s">
        <v>3345</v>
      </c>
      <c r="F293" t="s">
        <v>3398</v>
      </c>
      <c r="G293">
        <v>1917</v>
      </c>
      <c r="H293">
        <v>1961</v>
      </c>
      <c r="I293">
        <v>69.088000000000008</v>
      </c>
      <c r="J293">
        <v>50.8</v>
      </c>
      <c r="K293">
        <v>9.1439999999999984</v>
      </c>
      <c r="L293" t="s">
        <v>3435</v>
      </c>
    </row>
    <row r="294" spans="1:12">
      <c r="A294" t="s">
        <v>3431</v>
      </c>
      <c r="B294" t="s">
        <v>3432</v>
      </c>
      <c r="C294">
        <v>2.5</v>
      </c>
      <c r="D294" t="s">
        <v>3436</v>
      </c>
      <c r="E294" t="s">
        <v>3345</v>
      </c>
      <c r="F294" t="s">
        <v>3398</v>
      </c>
      <c r="G294">
        <v>1917</v>
      </c>
      <c r="H294">
        <v>1961</v>
      </c>
      <c r="I294">
        <v>82.296000000000006</v>
      </c>
      <c r="J294">
        <v>63.5</v>
      </c>
      <c r="K294">
        <v>9.3979999999999997</v>
      </c>
      <c r="L294" t="s">
        <v>3435</v>
      </c>
    </row>
    <row r="295" spans="1:12">
      <c r="A295" t="s">
        <v>3431</v>
      </c>
      <c r="B295" t="s">
        <v>3432</v>
      </c>
      <c r="C295">
        <v>3</v>
      </c>
      <c r="D295" t="s">
        <v>3436</v>
      </c>
      <c r="E295" t="s">
        <v>3345</v>
      </c>
      <c r="F295" t="s">
        <v>3398</v>
      </c>
      <c r="G295">
        <v>1917</v>
      </c>
      <c r="H295">
        <v>1961</v>
      </c>
      <c r="I295">
        <v>95.503999999999991</v>
      </c>
      <c r="J295">
        <v>76.2</v>
      </c>
      <c r="K295">
        <v>9.6519999999999992</v>
      </c>
      <c r="L295" t="s">
        <v>3435</v>
      </c>
    </row>
    <row r="296" spans="1:12">
      <c r="A296" t="s">
        <v>3431</v>
      </c>
      <c r="B296" t="s">
        <v>3432</v>
      </c>
      <c r="C296">
        <v>4</v>
      </c>
      <c r="D296" t="s">
        <v>3436</v>
      </c>
      <c r="E296" t="s">
        <v>3345</v>
      </c>
      <c r="F296" t="s">
        <v>3398</v>
      </c>
      <c r="G296">
        <v>1917</v>
      </c>
      <c r="H296">
        <v>1961</v>
      </c>
      <c r="I296">
        <v>121.92</v>
      </c>
      <c r="J296">
        <v>101.6</v>
      </c>
      <c r="K296">
        <v>10.16</v>
      </c>
      <c r="L296" t="s">
        <v>3435</v>
      </c>
    </row>
    <row r="297" spans="1:12">
      <c r="A297" t="s">
        <v>3431</v>
      </c>
      <c r="B297" t="s">
        <v>3432</v>
      </c>
      <c r="C297">
        <v>5</v>
      </c>
      <c r="D297" t="s">
        <v>3436</v>
      </c>
      <c r="E297" t="s">
        <v>3345</v>
      </c>
      <c r="F297" t="s">
        <v>3398</v>
      </c>
      <c r="G297">
        <v>1917</v>
      </c>
      <c r="H297">
        <v>1961</v>
      </c>
      <c r="I297">
        <v>149.86000000000001</v>
      </c>
      <c r="J297">
        <v>127</v>
      </c>
      <c r="K297">
        <v>11.43</v>
      </c>
      <c r="L297" t="s">
        <v>3435</v>
      </c>
    </row>
    <row r="298" spans="1:12">
      <c r="A298" t="s">
        <v>3431</v>
      </c>
      <c r="B298" t="s">
        <v>3432</v>
      </c>
      <c r="C298">
        <v>6</v>
      </c>
      <c r="D298" t="s">
        <v>3436</v>
      </c>
      <c r="E298" t="s">
        <v>3345</v>
      </c>
      <c r="F298" t="s">
        <v>3398</v>
      </c>
      <c r="G298">
        <v>1917</v>
      </c>
      <c r="H298">
        <v>1961</v>
      </c>
      <c r="I298">
        <v>177.292</v>
      </c>
      <c r="J298">
        <v>152.4</v>
      </c>
      <c r="K298">
        <v>12.446</v>
      </c>
      <c r="L298" t="s">
        <v>3435</v>
      </c>
    </row>
    <row r="299" spans="1:12">
      <c r="A299" t="s">
        <v>3431</v>
      </c>
      <c r="B299" t="s">
        <v>3432</v>
      </c>
      <c r="C299">
        <v>7</v>
      </c>
      <c r="D299" t="s">
        <v>3436</v>
      </c>
      <c r="E299" t="s">
        <v>3345</v>
      </c>
      <c r="F299" t="s">
        <v>3398</v>
      </c>
      <c r="G299">
        <v>1917</v>
      </c>
      <c r="H299">
        <v>1961</v>
      </c>
      <c r="I299">
        <v>204.72399999999999</v>
      </c>
      <c r="J299">
        <v>177.8</v>
      </c>
      <c r="K299">
        <v>13.462</v>
      </c>
      <c r="L299" t="s">
        <v>3435</v>
      </c>
    </row>
    <row r="300" spans="1:12">
      <c r="A300" t="s">
        <v>3431</v>
      </c>
      <c r="B300" t="s">
        <v>3432</v>
      </c>
      <c r="C300">
        <v>8</v>
      </c>
      <c r="D300" t="s">
        <v>3436</v>
      </c>
      <c r="E300" t="s">
        <v>3345</v>
      </c>
      <c r="F300" t="s">
        <v>3398</v>
      </c>
      <c r="G300">
        <v>1917</v>
      </c>
      <c r="H300">
        <v>1961</v>
      </c>
      <c r="I300">
        <v>232.15600000000001</v>
      </c>
      <c r="J300">
        <v>203.2</v>
      </c>
      <c r="K300">
        <v>14.478</v>
      </c>
      <c r="L300" t="s">
        <v>3435</v>
      </c>
    </row>
    <row r="301" spans="1:12">
      <c r="A301" t="s">
        <v>3431</v>
      </c>
      <c r="B301" t="s">
        <v>3432</v>
      </c>
      <c r="C301">
        <v>9</v>
      </c>
      <c r="D301" t="s">
        <v>3436</v>
      </c>
      <c r="E301" t="s">
        <v>3345</v>
      </c>
      <c r="F301" t="s">
        <v>3398</v>
      </c>
      <c r="G301">
        <v>1917</v>
      </c>
      <c r="H301">
        <v>1961</v>
      </c>
      <c r="I301">
        <v>259.08</v>
      </c>
      <c r="J301">
        <v>228.6</v>
      </c>
      <c r="K301">
        <v>15.24</v>
      </c>
      <c r="L301" t="s">
        <v>3435</v>
      </c>
    </row>
    <row r="302" spans="1:12">
      <c r="A302" t="s">
        <v>3431</v>
      </c>
      <c r="B302" t="s">
        <v>3432</v>
      </c>
      <c r="C302">
        <v>10</v>
      </c>
      <c r="D302" t="s">
        <v>3436</v>
      </c>
      <c r="E302" t="s">
        <v>3345</v>
      </c>
      <c r="F302" t="s">
        <v>3398</v>
      </c>
      <c r="G302">
        <v>1917</v>
      </c>
      <c r="H302">
        <v>1961</v>
      </c>
      <c r="I302">
        <v>286.00400000000002</v>
      </c>
      <c r="J302">
        <v>254</v>
      </c>
      <c r="K302">
        <v>16.001999999999999</v>
      </c>
      <c r="L302" t="s">
        <v>3435</v>
      </c>
    </row>
    <row r="303" spans="1:12">
      <c r="A303" t="s">
        <v>3431</v>
      </c>
      <c r="B303" t="s">
        <v>3432</v>
      </c>
      <c r="C303">
        <v>12</v>
      </c>
      <c r="D303" t="s">
        <v>3436</v>
      </c>
      <c r="E303" t="s">
        <v>3345</v>
      </c>
      <c r="F303" t="s">
        <v>3398</v>
      </c>
      <c r="G303">
        <v>1917</v>
      </c>
      <c r="H303">
        <v>1961</v>
      </c>
      <c r="I303">
        <v>333.75599999999997</v>
      </c>
      <c r="J303">
        <v>298.70400000000001</v>
      </c>
      <c r="K303">
        <v>17.526</v>
      </c>
      <c r="L303" t="s">
        <v>3435</v>
      </c>
    </row>
    <row r="304" spans="1:12">
      <c r="A304" t="s">
        <v>3431</v>
      </c>
      <c r="B304" t="s">
        <v>3432</v>
      </c>
      <c r="C304">
        <v>14</v>
      </c>
      <c r="D304" t="s">
        <v>3436</v>
      </c>
      <c r="E304" t="s">
        <v>3345</v>
      </c>
      <c r="F304" t="s">
        <v>3398</v>
      </c>
      <c r="G304">
        <v>1917</v>
      </c>
      <c r="H304">
        <v>1961</v>
      </c>
      <c r="I304">
        <v>386.58800000000002</v>
      </c>
      <c r="J304">
        <v>348.488</v>
      </c>
      <c r="K304">
        <v>19.05</v>
      </c>
      <c r="L304" t="s">
        <v>3435</v>
      </c>
    </row>
    <row r="305" spans="1:12">
      <c r="A305" t="s">
        <v>3431</v>
      </c>
      <c r="B305" t="s">
        <v>3432</v>
      </c>
      <c r="C305">
        <v>15</v>
      </c>
      <c r="D305" t="s">
        <v>3436</v>
      </c>
      <c r="E305" t="s">
        <v>3345</v>
      </c>
      <c r="F305" t="s">
        <v>3398</v>
      </c>
      <c r="G305">
        <v>1917</v>
      </c>
      <c r="H305">
        <v>1961</v>
      </c>
      <c r="I305">
        <v>413.00400000000002</v>
      </c>
      <c r="J305">
        <v>373.88799999999998</v>
      </c>
      <c r="K305">
        <v>19.558</v>
      </c>
      <c r="L305" t="s">
        <v>3435</v>
      </c>
    </row>
    <row r="306" spans="1:12">
      <c r="A306" t="s">
        <v>3431</v>
      </c>
      <c r="B306" t="s">
        <v>3432</v>
      </c>
      <c r="C306">
        <v>16</v>
      </c>
      <c r="D306" t="s">
        <v>3436</v>
      </c>
      <c r="E306" t="s">
        <v>3345</v>
      </c>
      <c r="F306" t="s">
        <v>3398</v>
      </c>
      <c r="G306">
        <v>1917</v>
      </c>
      <c r="H306">
        <v>1961</v>
      </c>
      <c r="I306">
        <v>439.42</v>
      </c>
      <c r="J306">
        <v>398.78</v>
      </c>
      <c r="K306">
        <v>20.32</v>
      </c>
      <c r="L306" t="s">
        <v>3435</v>
      </c>
    </row>
    <row r="307" spans="1:12">
      <c r="A307" t="s">
        <v>3431</v>
      </c>
      <c r="B307" t="s">
        <v>3432</v>
      </c>
      <c r="C307">
        <v>18</v>
      </c>
      <c r="D307" t="s">
        <v>3436</v>
      </c>
      <c r="E307" t="s">
        <v>3345</v>
      </c>
      <c r="F307" t="s">
        <v>3398</v>
      </c>
      <c r="G307">
        <v>1917</v>
      </c>
      <c r="H307">
        <v>1961</v>
      </c>
      <c r="I307">
        <v>492.25200000000001</v>
      </c>
      <c r="J307">
        <v>449.07199999999989</v>
      </c>
      <c r="K307">
        <v>21.59</v>
      </c>
      <c r="L307" t="s">
        <v>3435</v>
      </c>
    </row>
    <row r="308" spans="1:12">
      <c r="A308" t="s">
        <v>3431</v>
      </c>
      <c r="B308" t="s">
        <v>3432</v>
      </c>
      <c r="C308">
        <v>20</v>
      </c>
      <c r="D308" t="s">
        <v>3436</v>
      </c>
      <c r="E308" t="s">
        <v>3345</v>
      </c>
      <c r="F308" t="s">
        <v>3398</v>
      </c>
      <c r="G308">
        <v>1917</v>
      </c>
      <c r="H308">
        <v>1961</v>
      </c>
      <c r="I308">
        <v>545.08399999999995</v>
      </c>
      <c r="J308">
        <v>499.87200000000001</v>
      </c>
      <c r="K308">
        <v>22.606000000000002</v>
      </c>
      <c r="L308" t="s">
        <v>3435</v>
      </c>
    </row>
    <row r="309" spans="1:12">
      <c r="A309" t="s">
        <v>3431</v>
      </c>
      <c r="B309" t="s">
        <v>3432</v>
      </c>
      <c r="C309">
        <v>21</v>
      </c>
      <c r="D309" t="s">
        <v>3436</v>
      </c>
      <c r="E309" t="s">
        <v>3345</v>
      </c>
      <c r="F309" t="s">
        <v>3398</v>
      </c>
      <c r="G309">
        <v>1917</v>
      </c>
      <c r="H309">
        <v>1961</v>
      </c>
      <c r="I309">
        <v>571.5</v>
      </c>
      <c r="J309">
        <v>524.76400000000001</v>
      </c>
      <c r="K309">
        <v>23.367999999999999</v>
      </c>
      <c r="L309" t="s">
        <v>3435</v>
      </c>
    </row>
    <row r="310" spans="1:12">
      <c r="A310" t="s">
        <v>3431</v>
      </c>
      <c r="B310" t="s">
        <v>3432</v>
      </c>
      <c r="C310">
        <v>22</v>
      </c>
      <c r="D310" t="s">
        <v>3436</v>
      </c>
      <c r="E310" t="s">
        <v>3345</v>
      </c>
      <c r="F310" t="s">
        <v>3398</v>
      </c>
      <c r="G310">
        <v>1917</v>
      </c>
      <c r="H310">
        <v>1961</v>
      </c>
      <c r="I310">
        <v>597.91599999999994</v>
      </c>
      <c r="J310">
        <v>550.16399999999999</v>
      </c>
      <c r="K310">
        <v>23.876000000000001</v>
      </c>
      <c r="L310" t="s">
        <v>3435</v>
      </c>
    </row>
    <row r="311" spans="1:12">
      <c r="A311" t="s">
        <v>3431</v>
      </c>
      <c r="B311" t="s">
        <v>3432</v>
      </c>
      <c r="C311">
        <v>24</v>
      </c>
      <c r="D311" t="s">
        <v>3436</v>
      </c>
      <c r="E311" t="s">
        <v>3345</v>
      </c>
      <c r="F311" t="s">
        <v>3398</v>
      </c>
      <c r="G311">
        <v>1917</v>
      </c>
      <c r="H311">
        <v>1961</v>
      </c>
      <c r="I311">
        <v>650.24</v>
      </c>
      <c r="J311">
        <v>600.45600000000002</v>
      </c>
      <c r="K311">
        <v>24.891999999999999</v>
      </c>
      <c r="L311" t="s">
        <v>3435</v>
      </c>
    </row>
    <row r="312" spans="1:12">
      <c r="A312" t="s">
        <v>3431</v>
      </c>
      <c r="B312" t="s">
        <v>3432</v>
      </c>
      <c r="C312">
        <v>26</v>
      </c>
      <c r="D312" t="s">
        <v>3436</v>
      </c>
      <c r="E312" t="s">
        <v>3345</v>
      </c>
      <c r="F312" t="s">
        <v>3398</v>
      </c>
      <c r="G312">
        <v>1917</v>
      </c>
      <c r="H312">
        <v>1961</v>
      </c>
      <c r="I312">
        <v>702.56399999999996</v>
      </c>
      <c r="J312">
        <v>650.74799999999993</v>
      </c>
      <c r="K312">
        <v>25.908000000000001</v>
      </c>
      <c r="L312" t="s">
        <v>3435</v>
      </c>
    </row>
    <row r="313" spans="1:12">
      <c r="A313" t="s">
        <v>3431</v>
      </c>
      <c r="B313" t="s">
        <v>3432</v>
      </c>
      <c r="C313">
        <v>27</v>
      </c>
      <c r="D313" t="s">
        <v>3436</v>
      </c>
      <c r="E313" t="s">
        <v>3345</v>
      </c>
      <c r="F313" t="s">
        <v>3398</v>
      </c>
      <c r="G313">
        <v>1917</v>
      </c>
      <c r="H313">
        <v>1961</v>
      </c>
      <c r="I313">
        <v>728.98</v>
      </c>
      <c r="J313">
        <v>676.14800000000002</v>
      </c>
      <c r="K313">
        <v>26.416</v>
      </c>
      <c r="L313" t="s">
        <v>3435</v>
      </c>
    </row>
    <row r="314" spans="1:12">
      <c r="A314" t="s">
        <v>3431</v>
      </c>
      <c r="B314" t="s">
        <v>3432</v>
      </c>
      <c r="C314">
        <v>28</v>
      </c>
      <c r="D314" t="s">
        <v>3436</v>
      </c>
      <c r="E314" t="s">
        <v>3345</v>
      </c>
      <c r="F314" t="s">
        <v>3398</v>
      </c>
      <c r="G314">
        <v>1917</v>
      </c>
      <c r="H314">
        <v>1961</v>
      </c>
      <c r="I314">
        <v>754.88799999999992</v>
      </c>
      <c r="J314">
        <v>701.04</v>
      </c>
      <c r="K314">
        <v>26.923999999999999</v>
      </c>
      <c r="L314" t="s">
        <v>3435</v>
      </c>
    </row>
    <row r="315" spans="1:12">
      <c r="A315" t="s">
        <v>3431</v>
      </c>
      <c r="B315" t="s">
        <v>3432</v>
      </c>
      <c r="C315">
        <v>30</v>
      </c>
      <c r="D315" t="s">
        <v>3436</v>
      </c>
      <c r="E315" t="s">
        <v>3345</v>
      </c>
      <c r="F315" t="s">
        <v>3398</v>
      </c>
      <c r="G315">
        <v>1917</v>
      </c>
      <c r="H315">
        <v>1961</v>
      </c>
      <c r="I315">
        <v>807.21199999999999</v>
      </c>
      <c r="J315">
        <v>751.84</v>
      </c>
      <c r="K315">
        <v>27.686</v>
      </c>
      <c r="L315" t="s">
        <v>3435</v>
      </c>
    </row>
    <row r="316" spans="1:12">
      <c r="A316" t="s">
        <v>3431</v>
      </c>
      <c r="B316" t="s">
        <v>3432</v>
      </c>
      <c r="C316">
        <v>32</v>
      </c>
      <c r="D316" t="s">
        <v>3436</v>
      </c>
      <c r="E316" t="s">
        <v>3345</v>
      </c>
      <c r="F316" t="s">
        <v>3398</v>
      </c>
      <c r="G316">
        <v>1917</v>
      </c>
      <c r="H316">
        <v>1961</v>
      </c>
      <c r="I316">
        <v>859.53600000000006</v>
      </c>
      <c r="J316">
        <v>802.13200000000006</v>
      </c>
      <c r="K316">
        <v>28.701999999999991</v>
      </c>
      <c r="L316" t="s">
        <v>3435</v>
      </c>
    </row>
    <row r="317" spans="1:12">
      <c r="A317" t="s">
        <v>3431</v>
      </c>
      <c r="B317" t="s">
        <v>3432</v>
      </c>
      <c r="C317">
        <v>33</v>
      </c>
      <c r="D317" t="s">
        <v>3436</v>
      </c>
      <c r="E317" t="s">
        <v>3345</v>
      </c>
      <c r="F317" t="s">
        <v>3398</v>
      </c>
      <c r="G317">
        <v>1917</v>
      </c>
      <c r="H317">
        <v>1961</v>
      </c>
      <c r="I317">
        <v>885.952</v>
      </c>
      <c r="J317">
        <v>827.53200000000004</v>
      </c>
      <c r="K317">
        <v>29.21</v>
      </c>
      <c r="L317" t="s">
        <v>3435</v>
      </c>
    </row>
    <row r="318" spans="1:12">
      <c r="A318" t="s">
        <v>3431</v>
      </c>
      <c r="B318" t="s">
        <v>3432</v>
      </c>
      <c r="C318">
        <v>36</v>
      </c>
      <c r="D318" t="s">
        <v>3436</v>
      </c>
      <c r="E318" t="s">
        <v>3345</v>
      </c>
      <c r="F318" t="s">
        <v>3398</v>
      </c>
      <c r="G318">
        <v>1917</v>
      </c>
      <c r="H318">
        <v>1961</v>
      </c>
      <c r="I318">
        <v>964.18399999999997</v>
      </c>
      <c r="J318">
        <v>903.22399999999993</v>
      </c>
      <c r="K318">
        <v>30.48</v>
      </c>
      <c r="L318" t="s">
        <v>3435</v>
      </c>
    </row>
    <row r="319" spans="1:12">
      <c r="A319" t="s">
        <v>3431</v>
      </c>
      <c r="B319" t="s">
        <v>3432</v>
      </c>
      <c r="C319">
        <v>38</v>
      </c>
      <c r="D319" t="s">
        <v>3436</v>
      </c>
      <c r="E319" t="s">
        <v>3345</v>
      </c>
      <c r="F319" t="s">
        <v>3398</v>
      </c>
      <c r="G319">
        <v>1917</v>
      </c>
      <c r="H319">
        <v>1961</v>
      </c>
      <c r="I319">
        <v>1016.508</v>
      </c>
      <c r="J319">
        <v>954.024</v>
      </c>
      <c r="K319">
        <v>31.242000000000001</v>
      </c>
      <c r="L319" t="s">
        <v>3435</v>
      </c>
    </row>
    <row r="320" spans="1:12">
      <c r="A320" t="s">
        <v>3431</v>
      </c>
      <c r="B320" t="s">
        <v>3432</v>
      </c>
      <c r="C320">
        <v>39</v>
      </c>
      <c r="D320" t="s">
        <v>3436</v>
      </c>
      <c r="E320" t="s">
        <v>3345</v>
      </c>
      <c r="F320" t="s">
        <v>3398</v>
      </c>
      <c r="G320">
        <v>1917</v>
      </c>
      <c r="H320">
        <v>1961</v>
      </c>
      <c r="I320">
        <v>1042.4159999999999</v>
      </c>
      <c r="J320">
        <v>978.91599999999994</v>
      </c>
      <c r="K320">
        <v>31.75</v>
      </c>
      <c r="L320" t="s">
        <v>3435</v>
      </c>
    </row>
    <row r="321" spans="1:12">
      <c r="A321" t="s">
        <v>3431</v>
      </c>
      <c r="B321" t="s">
        <v>3432</v>
      </c>
      <c r="C321">
        <v>40</v>
      </c>
      <c r="D321" t="s">
        <v>3436</v>
      </c>
      <c r="E321" t="s">
        <v>3345</v>
      </c>
      <c r="F321" t="s">
        <v>3398</v>
      </c>
      <c r="G321">
        <v>1917</v>
      </c>
      <c r="H321">
        <v>1961</v>
      </c>
      <c r="I321">
        <v>1068.3240000000001</v>
      </c>
      <c r="J321">
        <v>1004.316</v>
      </c>
      <c r="K321">
        <v>32.003999999999998</v>
      </c>
      <c r="L321" t="s">
        <v>3435</v>
      </c>
    </row>
    <row r="322" spans="1:12">
      <c r="A322" t="s">
        <v>3431</v>
      </c>
      <c r="B322" t="s">
        <v>3432</v>
      </c>
      <c r="C322">
        <v>42</v>
      </c>
      <c r="D322" t="s">
        <v>3436</v>
      </c>
      <c r="E322" t="s">
        <v>3345</v>
      </c>
      <c r="F322" t="s">
        <v>3398</v>
      </c>
      <c r="G322">
        <v>1917</v>
      </c>
      <c r="H322">
        <v>1961</v>
      </c>
      <c r="I322">
        <v>1120.6479999999999</v>
      </c>
      <c r="J322">
        <v>1054.6079999999999</v>
      </c>
      <c r="K322">
        <v>33.020000000000003</v>
      </c>
      <c r="L322" t="s">
        <v>3435</v>
      </c>
    </row>
    <row r="323" spans="1:12">
      <c r="A323" t="s">
        <v>3431</v>
      </c>
      <c r="B323" t="s">
        <v>3432</v>
      </c>
      <c r="C323">
        <v>44</v>
      </c>
      <c r="D323" t="s">
        <v>3436</v>
      </c>
      <c r="E323" t="s">
        <v>3345</v>
      </c>
      <c r="F323" t="s">
        <v>3398</v>
      </c>
      <c r="G323">
        <v>1917</v>
      </c>
      <c r="H323">
        <v>1961</v>
      </c>
      <c r="I323">
        <v>1172.4639999999999</v>
      </c>
      <c r="J323">
        <v>1104.9000000000001</v>
      </c>
      <c r="K323">
        <v>33.781999999999996</v>
      </c>
      <c r="L323" t="s">
        <v>3435</v>
      </c>
    </row>
    <row r="324" spans="1:12">
      <c r="A324" t="s">
        <v>3431</v>
      </c>
      <c r="B324" t="s">
        <v>3432</v>
      </c>
      <c r="C324">
        <v>45</v>
      </c>
      <c r="D324" t="s">
        <v>3436</v>
      </c>
      <c r="E324" t="s">
        <v>3345</v>
      </c>
      <c r="F324" t="s">
        <v>3398</v>
      </c>
      <c r="G324">
        <v>1917</v>
      </c>
      <c r="H324">
        <v>1961</v>
      </c>
      <c r="I324">
        <v>1198.3720000000001</v>
      </c>
      <c r="J324">
        <v>1129.7919999999999</v>
      </c>
      <c r="K324">
        <v>34.29</v>
      </c>
      <c r="L324" t="s">
        <v>3435</v>
      </c>
    </row>
    <row r="325" spans="1:12">
      <c r="A325" t="s">
        <v>3431</v>
      </c>
      <c r="B325" t="s">
        <v>3432</v>
      </c>
      <c r="C325">
        <v>46</v>
      </c>
      <c r="D325" t="s">
        <v>3436</v>
      </c>
      <c r="E325" t="s">
        <v>3345</v>
      </c>
      <c r="F325" t="s">
        <v>3398</v>
      </c>
      <c r="G325">
        <v>1917</v>
      </c>
      <c r="H325">
        <v>1961</v>
      </c>
      <c r="I325">
        <v>1224.788</v>
      </c>
      <c r="J325">
        <v>1155.7</v>
      </c>
      <c r="K325">
        <v>34.543999999999997</v>
      </c>
      <c r="L325" t="s">
        <v>3435</v>
      </c>
    </row>
    <row r="326" spans="1:12">
      <c r="A326" t="s">
        <v>3431</v>
      </c>
      <c r="B326" t="s">
        <v>3432</v>
      </c>
      <c r="C326">
        <v>48</v>
      </c>
      <c r="D326" t="s">
        <v>3436</v>
      </c>
      <c r="E326" t="s">
        <v>3345</v>
      </c>
      <c r="F326" t="s">
        <v>3398</v>
      </c>
      <c r="G326">
        <v>1917</v>
      </c>
      <c r="H326">
        <v>1961</v>
      </c>
      <c r="I326">
        <v>1276.604</v>
      </c>
      <c r="J326">
        <v>1206.5</v>
      </c>
      <c r="K326">
        <v>35.051999999999992</v>
      </c>
      <c r="L326" t="s">
        <v>3435</v>
      </c>
    </row>
    <row r="327" spans="1:12">
      <c r="A327" t="s">
        <v>3431</v>
      </c>
      <c r="B327" t="s">
        <v>3432</v>
      </c>
      <c r="C327">
        <v>1.5</v>
      </c>
      <c r="D327" t="s">
        <v>3436</v>
      </c>
      <c r="E327" t="s">
        <v>3347</v>
      </c>
      <c r="F327" t="s">
        <v>3399</v>
      </c>
      <c r="G327">
        <v>1917</v>
      </c>
      <c r="H327">
        <v>1961</v>
      </c>
      <c r="I327">
        <v>55.88</v>
      </c>
      <c r="J327">
        <v>38.1</v>
      </c>
      <c r="K327">
        <v>8.89</v>
      </c>
      <c r="L327" t="s">
        <v>3435</v>
      </c>
    </row>
    <row r="328" spans="1:12">
      <c r="A328" t="s">
        <v>3431</v>
      </c>
      <c r="B328" t="s">
        <v>3432</v>
      </c>
      <c r="C328">
        <v>2</v>
      </c>
      <c r="D328" t="s">
        <v>3436</v>
      </c>
      <c r="E328" t="s">
        <v>3347</v>
      </c>
      <c r="F328" t="s">
        <v>3399</v>
      </c>
      <c r="G328">
        <v>1917</v>
      </c>
      <c r="H328">
        <v>1961</v>
      </c>
      <c r="I328">
        <v>69.088000000000008</v>
      </c>
      <c r="J328">
        <v>50.8</v>
      </c>
      <c r="K328">
        <v>9.1439999999999984</v>
      </c>
      <c r="L328" t="s">
        <v>3435</v>
      </c>
    </row>
    <row r="329" spans="1:12">
      <c r="A329" t="s">
        <v>3431</v>
      </c>
      <c r="B329" t="s">
        <v>3432</v>
      </c>
      <c r="C329">
        <v>2.5</v>
      </c>
      <c r="D329" t="s">
        <v>3436</v>
      </c>
      <c r="E329" t="s">
        <v>3347</v>
      </c>
      <c r="F329" t="s">
        <v>3399</v>
      </c>
      <c r="G329">
        <v>1917</v>
      </c>
      <c r="H329">
        <v>1961</v>
      </c>
      <c r="I329">
        <v>82.296000000000006</v>
      </c>
      <c r="J329">
        <v>63.5</v>
      </c>
      <c r="K329">
        <v>9.3979999999999997</v>
      </c>
      <c r="L329" t="s">
        <v>3435</v>
      </c>
    </row>
    <row r="330" spans="1:12">
      <c r="A330" t="s">
        <v>3431</v>
      </c>
      <c r="B330" t="s">
        <v>3432</v>
      </c>
      <c r="C330">
        <v>3</v>
      </c>
      <c r="D330" t="s">
        <v>3436</v>
      </c>
      <c r="E330" t="s">
        <v>3347</v>
      </c>
      <c r="F330" t="s">
        <v>3399</v>
      </c>
      <c r="G330">
        <v>1917</v>
      </c>
      <c r="H330">
        <v>1961</v>
      </c>
      <c r="I330">
        <v>95.503999999999991</v>
      </c>
      <c r="J330">
        <v>75.183999999999997</v>
      </c>
      <c r="K330">
        <v>10.16</v>
      </c>
      <c r="L330" t="s">
        <v>3435</v>
      </c>
    </row>
    <row r="331" spans="1:12">
      <c r="A331" t="s">
        <v>3431</v>
      </c>
      <c r="B331" t="s">
        <v>3432</v>
      </c>
      <c r="C331">
        <v>4</v>
      </c>
      <c r="D331" t="s">
        <v>3436</v>
      </c>
      <c r="E331" t="s">
        <v>3347</v>
      </c>
      <c r="F331" t="s">
        <v>3399</v>
      </c>
      <c r="G331">
        <v>1917</v>
      </c>
      <c r="H331">
        <v>1961</v>
      </c>
      <c r="I331">
        <v>121.92</v>
      </c>
      <c r="J331">
        <v>98.552000000000007</v>
      </c>
      <c r="K331">
        <v>11.683999999999999</v>
      </c>
      <c r="L331" t="s">
        <v>3435</v>
      </c>
    </row>
    <row r="332" spans="1:12">
      <c r="A332" t="s">
        <v>3431</v>
      </c>
      <c r="B332" t="s">
        <v>3432</v>
      </c>
      <c r="C332">
        <v>5</v>
      </c>
      <c r="D332" t="s">
        <v>3436</v>
      </c>
      <c r="E332" t="s">
        <v>3347</v>
      </c>
      <c r="F332" t="s">
        <v>3399</v>
      </c>
      <c r="G332">
        <v>1917</v>
      </c>
      <c r="H332">
        <v>1961</v>
      </c>
      <c r="I332">
        <v>149.86000000000001</v>
      </c>
      <c r="J332">
        <v>123.444</v>
      </c>
      <c r="K332">
        <v>13.208</v>
      </c>
      <c r="L332" t="s">
        <v>3435</v>
      </c>
    </row>
    <row r="333" spans="1:12">
      <c r="A333" t="s">
        <v>3431</v>
      </c>
      <c r="B333" t="s">
        <v>3432</v>
      </c>
      <c r="C333">
        <v>6</v>
      </c>
      <c r="D333" t="s">
        <v>3436</v>
      </c>
      <c r="E333" t="s">
        <v>3347</v>
      </c>
      <c r="F333" t="s">
        <v>3399</v>
      </c>
      <c r="G333">
        <v>1917</v>
      </c>
      <c r="H333">
        <v>1961</v>
      </c>
      <c r="I333">
        <v>177.292</v>
      </c>
      <c r="J333">
        <v>148.33600000000001</v>
      </c>
      <c r="K333">
        <v>14.478</v>
      </c>
      <c r="L333" t="s">
        <v>3435</v>
      </c>
    </row>
    <row r="334" spans="1:12">
      <c r="A334" t="s">
        <v>3431</v>
      </c>
      <c r="B334" t="s">
        <v>3432</v>
      </c>
      <c r="C334">
        <v>7</v>
      </c>
      <c r="D334" t="s">
        <v>3436</v>
      </c>
      <c r="E334" t="s">
        <v>3347</v>
      </c>
      <c r="F334" t="s">
        <v>3399</v>
      </c>
      <c r="G334">
        <v>1917</v>
      </c>
      <c r="H334">
        <v>1961</v>
      </c>
      <c r="I334">
        <v>204.72399999999999</v>
      </c>
      <c r="J334">
        <v>173.73599999999999</v>
      </c>
      <c r="K334">
        <v>15.494</v>
      </c>
      <c r="L334" t="s">
        <v>3435</v>
      </c>
    </row>
    <row r="335" spans="1:12">
      <c r="A335" t="s">
        <v>3431</v>
      </c>
      <c r="B335" t="s">
        <v>3432</v>
      </c>
      <c r="C335">
        <v>8</v>
      </c>
      <c r="D335" t="s">
        <v>3436</v>
      </c>
      <c r="E335" t="s">
        <v>3347</v>
      </c>
      <c r="F335" t="s">
        <v>3399</v>
      </c>
      <c r="G335">
        <v>1917</v>
      </c>
      <c r="H335">
        <v>1961</v>
      </c>
      <c r="I335">
        <v>232.15600000000001</v>
      </c>
      <c r="J335">
        <v>199.136</v>
      </c>
      <c r="K335">
        <v>16.510000000000002</v>
      </c>
      <c r="L335" t="s">
        <v>3435</v>
      </c>
    </row>
    <row r="336" spans="1:12">
      <c r="A336" t="s">
        <v>3431</v>
      </c>
      <c r="B336" t="s">
        <v>3432</v>
      </c>
      <c r="C336">
        <v>9</v>
      </c>
      <c r="D336" t="s">
        <v>3436</v>
      </c>
      <c r="E336" t="s">
        <v>3347</v>
      </c>
      <c r="F336" t="s">
        <v>3399</v>
      </c>
      <c r="G336">
        <v>1917</v>
      </c>
      <c r="H336">
        <v>1961</v>
      </c>
      <c r="I336">
        <v>259.08</v>
      </c>
      <c r="J336">
        <v>224.02799999999999</v>
      </c>
      <c r="K336">
        <v>17.526</v>
      </c>
      <c r="L336" t="s">
        <v>3435</v>
      </c>
    </row>
    <row r="337" spans="1:12">
      <c r="A337" t="s">
        <v>3431</v>
      </c>
      <c r="B337" t="s">
        <v>3432</v>
      </c>
      <c r="C337">
        <v>10</v>
      </c>
      <c r="D337" t="s">
        <v>3436</v>
      </c>
      <c r="E337" t="s">
        <v>3347</v>
      </c>
      <c r="F337" t="s">
        <v>3399</v>
      </c>
      <c r="G337">
        <v>1917</v>
      </c>
      <c r="H337">
        <v>1961</v>
      </c>
      <c r="I337">
        <v>286.00400000000002</v>
      </c>
      <c r="J337">
        <v>248.92</v>
      </c>
      <c r="K337">
        <v>18.542000000000002</v>
      </c>
      <c r="L337" t="s">
        <v>3435</v>
      </c>
    </row>
    <row r="338" spans="1:12">
      <c r="A338" t="s">
        <v>3431</v>
      </c>
      <c r="B338" t="s">
        <v>3432</v>
      </c>
      <c r="C338">
        <v>12</v>
      </c>
      <c r="D338" t="s">
        <v>3436</v>
      </c>
      <c r="E338" t="s">
        <v>3347</v>
      </c>
      <c r="F338" t="s">
        <v>3399</v>
      </c>
      <c r="G338">
        <v>1917</v>
      </c>
      <c r="H338">
        <v>1961</v>
      </c>
      <c r="I338">
        <v>333.75599999999997</v>
      </c>
      <c r="J338">
        <v>293.11599999999999</v>
      </c>
      <c r="K338">
        <v>20.32</v>
      </c>
      <c r="L338" t="s">
        <v>3435</v>
      </c>
    </row>
    <row r="339" spans="1:12">
      <c r="A339" t="s">
        <v>3431</v>
      </c>
      <c r="B339" t="s">
        <v>3432</v>
      </c>
      <c r="C339">
        <v>14</v>
      </c>
      <c r="D339" t="s">
        <v>3436</v>
      </c>
      <c r="E339" t="s">
        <v>3347</v>
      </c>
      <c r="F339" t="s">
        <v>3399</v>
      </c>
      <c r="G339">
        <v>1917</v>
      </c>
      <c r="H339">
        <v>1961</v>
      </c>
      <c r="I339">
        <v>386.58800000000002</v>
      </c>
      <c r="J339">
        <v>342.9</v>
      </c>
      <c r="K339">
        <v>21.844000000000001</v>
      </c>
      <c r="L339" t="s">
        <v>3435</v>
      </c>
    </row>
    <row r="340" spans="1:12">
      <c r="A340" t="s">
        <v>3431</v>
      </c>
      <c r="B340" t="s">
        <v>3432</v>
      </c>
      <c r="C340">
        <v>15</v>
      </c>
      <c r="D340" t="s">
        <v>3436</v>
      </c>
      <c r="E340" t="s">
        <v>3347</v>
      </c>
      <c r="F340" t="s">
        <v>3399</v>
      </c>
      <c r="G340">
        <v>1917</v>
      </c>
      <c r="H340">
        <v>1961</v>
      </c>
      <c r="I340">
        <v>413.00400000000002</v>
      </c>
      <c r="J340">
        <v>367.79199999999997</v>
      </c>
      <c r="K340">
        <v>22.606000000000002</v>
      </c>
      <c r="L340" t="s">
        <v>3435</v>
      </c>
    </row>
    <row r="341" spans="1:12">
      <c r="A341" t="s">
        <v>3431</v>
      </c>
      <c r="B341" t="s">
        <v>3432</v>
      </c>
      <c r="C341">
        <v>16</v>
      </c>
      <c r="D341" t="s">
        <v>3436</v>
      </c>
      <c r="E341" t="s">
        <v>3347</v>
      </c>
      <c r="F341" t="s">
        <v>3399</v>
      </c>
      <c r="G341">
        <v>1917</v>
      </c>
      <c r="H341">
        <v>1961</v>
      </c>
      <c r="I341">
        <v>439.42</v>
      </c>
      <c r="J341">
        <v>392.68400000000003</v>
      </c>
      <c r="K341">
        <v>23.367999999999999</v>
      </c>
      <c r="L341" t="s">
        <v>3435</v>
      </c>
    </row>
    <row r="342" spans="1:12">
      <c r="A342" t="s">
        <v>3431</v>
      </c>
      <c r="B342" t="s">
        <v>3432</v>
      </c>
      <c r="C342">
        <v>18</v>
      </c>
      <c r="D342" t="s">
        <v>3436</v>
      </c>
      <c r="E342" t="s">
        <v>3347</v>
      </c>
      <c r="F342" t="s">
        <v>3399</v>
      </c>
      <c r="G342">
        <v>1917</v>
      </c>
      <c r="H342">
        <v>1961</v>
      </c>
      <c r="I342">
        <v>492.25200000000001</v>
      </c>
      <c r="J342">
        <v>442.46800000000002</v>
      </c>
      <c r="K342">
        <v>24.891999999999999</v>
      </c>
      <c r="L342" t="s">
        <v>3435</v>
      </c>
    </row>
    <row r="343" spans="1:12">
      <c r="A343" t="s">
        <v>3431</v>
      </c>
      <c r="B343" t="s">
        <v>3432</v>
      </c>
      <c r="C343">
        <v>20</v>
      </c>
      <c r="D343" t="s">
        <v>3436</v>
      </c>
      <c r="E343" t="s">
        <v>3347</v>
      </c>
      <c r="F343" t="s">
        <v>3399</v>
      </c>
      <c r="G343">
        <v>1917</v>
      </c>
      <c r="H343">
        <v>1961</v>
      </c>
      <c r="I343">
        <v>545.08399999999995</v>
      </c>
      <c r="J343">
        <v>492.76</v>
      </c>
      <c r="K343">
        <v>26.161999999999999</v>
      </c>
      <c r="L343" t="s">
        <v>3435</v>
      </c>
    </row>
    <row r="344" spans="1:12">
      <c r="A344" t="s">
        <v>3431</v>
      </c>
      <c r="B344" t="s">
        <v>3432</v>
      </c>
      <c r="C344">
        <v>21</v>
      </c>
      <c r="D344" t="s">
        <v>3436</v>
      </c>
      <c r="E344" t="s">
        <v>3347</v>
      </c>
      <c r="F344" t="s">
        <v>3399</v>
      </c>
      <c r="G344">
        <v>1917</v>
      </c>
      <c r="H344">
        <v>1961</v>
      </c>
      <c r="I344">
        <v>571.5</v>
      </c>
      <c r="J344">
        <v>517.65200000000004</v>
      </c>
      <c r="K344">
        <v>26.923999999999999</v>
      </c>
      <c r="L344" t="s">
        <v>3435</v>
      </c>
    </row>
    <row r="345" spans="1:12">
      <c r="A345" t="s">
        <v>3431</v>
      </c>
      <c r="B345" t="s">
        <v>3432</v>
      </c>
      <c r="C345">
        <v>22</v>
      </c>
      <c r="D345" t="s">
        <v>3436</v>
      </c>
      <c r="E345" t="s">
        <v>3347</v>
      </c>
      <c r="F345" t="s">
        <v>3399</v>
      </c>
      <c r="G345">
        <v>1917</v>
      </c>
      <c r="H345">
        <v>1961</v>
      </c>
      <c r="I345">
        <v>597.91599999999994</v>
      </c>
      <c r="J345">
        <v>543.05199999999991</v>
      </c>
      <c r="K345">
        <v>27.431999999999999</v>
      </c>
      <c r="L345" t="s">
        <v>3435</v>
      </c>
    </row>
    <row r="346" spans="1:12">
      <c r="A346" t="s">
        <v>3431</v>
      </c>
      <c r="B346" t="s">
        <v>3432</v>
      </c>
      <c r="C346">
        <v>24</v>
      </c>
      <c r="D346" t="s">
        <v>3436</v>
      </c>
      <c r="E346" t="s">
        <v>3347</v>
      </c>
      <c r="F346" t="s">
        <v>3399</v>
      </c>
      <c r="G346">
        <v>1917</v>
      </c>
      <c r="H346">
        <v>1961</v>
      </c>
      <c r="I346">
        <v>650.24</v>
      </c>
      <c r="J346">
        <v>592.83600000000001</v>
      </c>
      <c r="K346">
        <v>28.701999999999991</v>
      </c>
      <c r="L346" t="s">
        <v>3435</v>
      </c>
    </row>
    <row r="347" spans="1:12">
      <c r="A347" t="s">
        <v>3431</v>
      </c>
      <c r="B347" t="s">
        <v>3432</v>
      </c>
      <c r="C347">
        <v>26</v>
      </c>
      <c r="D347" t="s">
        <v>3436</v>
      </c>
      <c r="E347" t="s">
        <v>3347</v>
      </c>
      <c r="F347" t="s">
        <v>3399</v>
      </c>
      <c r="G347">
        <v>1917</v>
      </c>
      <c r="H347">
        <v>1961</v>
      </c>
      <c r="I347">
        <v>702.56399999999996</v>
      </c>
      <c r="J347">
        <v>642.62</v>
      </c>
      <c r="K347">
        <v>29.972000000000001</v>
      </c>
      <c r="L347" t="s">
        <v>3435</v>
      </c>
    </row>
    <row r="348" spans="1:12">
      <c r="A348" t="s">
        <v>3431</v>
      </c>
      <c r="B348" t="s">
        <v>3432</v>
      </c>
      <c r="C348">
        <v>27</v>
      </c>
      <c r="D348" t="s">
        <v>3436</v>
      </c>
      <c r="E348" t="s">
        <v>3347</v>
      </c>
      <c r="F348" t="s">
        <v>3399</v>
      </c>
      <c r="G348">
        <v>1917</v>
      </c>
      <c r="H348">
        <v>1961</v>
      </c>
      <c r="I348">
        <v>728.98</v>
      </c>
      <c r="J348">
        <v>668.02</v>
      </c>
      <c r="K348">
        <v>30.48</v>
      </c>
      <c r="L348" t="s">
        <v>3435</v>
      </c>
    </row>
    <row r="349" spans="1:12">
      <c r="A349" t="s">
        <v>3431</v>
      </c>
      <c r="B349" t="s">
        <v>3432</v>
      </c>
      <c r="C349">
        <v>28</v>
      </c>
      <c r="D349" t="s">
        <v>3436</v>
      </c>
      <c r="E349" t="s">
        <v>3347</v>
      </c>
      <c r="F349" t="s">
        <v>3399</v>
      </c>
      <c r="G349">
        <v>1917</v>
      </c>
      <c r="H349">
        <v>1961</v>
      </c>
      <c r="I349">
        <v>754.88799999999992</v>
      </c>
      <c r="J349">
        <v>692.91199999999992</v>
      </c>
      <c r="K349">
        <v>30.988</v>
      </c>
      <c r="L349" t="s">
        <v>3435</v>
      </c>
    </row>
    <row r="350" spans="1:12">
      <c r="A350" t="s">
        <v>3431</v>
      </c>
      <c r="B350" t="s">
        <v>3432</v>
      </c>
      <c r="C350">
        <v>30</v>
      </c>
      <c r="D350" t="s">
        <v>3436</v>
      </c>
      <c r="E350" t="s">
        <v>3347</v>
      </c>
      <c r="F350" t="s">
        <v>3399</v>
      </c>
      <c r="G350">
        <v>1917</v>
      </c>
      <c r="H350">
        <v>1961</v>
      </c>
      <c r="I350">
        <v>807.21199999999999</v>
      </c>
      <c r="J350">
        <v>743.20399999999995</v>
      </c>
      <c r="K350">
        <v>32.003999999999998</v>
      </c>
      <c r="L350" t="s">
        <v>3435</v>
      </c>
    </row>
    <row r="351" spans="1:12">
      <c r="A351" t="s">
        <v>3431</v>
      </c>
      <c r="B351" t="s">
        <v>3432</v>
      </c>
      <c r="C351">
        <v>32</v>
      </c>
      <c r="D351" t="s">
        <v>3436</v>
      </c>
      <c r="E351" t="s">
        <v>3347</v>
      </c>
      <c r="F351" t="s">
        <v>3399</v>
      </c>
      <c r="G351">
        <v>1917</v>
      </c>
      <c r="H351">
        <v>1961</v>
      </c>
      <c r="I351">
        <v>859.53600000000006</v>
      </c>
      <c r="J351">
        <v>792.98800000000006</v>
      </c>
      <c r="K351">
        <v>33.274000000000001</v>
      </c>
      <c r="L351" t="s">
        <v>3435</v>
      </c>
    </row>
    <row r="352" spans="1:12">
      <c r="A352" t="s">
        <v>3431</v>
      </c>
      <c r="B352" t="s">
        <v>3432</v>
      </c>
      <c r="C352">
        <v>33</v>
      </c>
      <c r="D352" t="s">
        <v>3436</v>
      </c>
      <c r="E352" t="s">
        <v>3347</v>
      </c>
      <c r="F352" t="s">
        <v>3399</v>
      </c>
      <c r="G352">
        <v>1917</v>
      </c>
      <c r="H352">
        <v>1961</v>
      </c>
      <c r="I352">
        <v>885.952</v>
      </c>
      <c r="J352">
        <v>818.38800000000003</v>
      </c>
      <c r="K352">
        <v>33.781999999999996</v>
      </c>
      <c r="L352" t="s">
        <v>3435</v>
      </c>
    </row>
    <row r="353" spans="1:12">
      <c r="A353" t="s">
        <v>3431</v>
      </c>
      <c r="B353" t="s">
        <v>3432</v>
      </c>
      <c r="C353">
        <v>36</v>
      </c>
      <c r="D353" t="s">
        <v>3436</v>
      </c>
      <c r="E353" t="s">
        <v>3347</v>
      </c>
      <c r="F353" t="s">
        <v>3399</v>
      </c>
      <c r="G353">
        <v>1917</v>
      </c>
      <c r="H353">
        <v>1961</v>
      </c>
      <c r="I353">
        <v>964.18399999999997</v>
      </c>
      <c r="J353">
        <v>894.08</v>
      </c>
      <c r="K353">
        <v>35.051999999999992</v>
      </c>
      <c r="L353" t="s">
        <v>3435</v>
      </c>
    </row>
    <row r="354" spans="1:12">
      <c r="A354" t="s">
        <v>3431</v>
      </c>
      <c r="B354" t="s">
        <v>3432</v>
      </c>
      <c r="C354">
        <v>38</v>
      </c>
      <c r="D354" t="s">
        <v>3436</v>
      </c>
      <c r="E354" t="s">
        <v>3347</v>
      </c>
      <c r="F354" t="s">
        <v>3399</v>
      </c>
      <c r="G354">
        <v>1917</v>
      </c>
      <c r="H354">
        <v>1961</v>
      </c>
      <c r="I354">
        <v>1016.508</v>
      </c>
      <c r="J354">
        <v>944.37200000000007</v>
      </c>
      <c r="K354">
        <v>36.067999999999998</v>
      </c>
      <c r="L354" t="s">
        <v>3435</v>
      </c>
    </row>
    <row r="355" spans="1:12">
      <c r="A355" t="s">
        <v>3431</v>
      </c>
      <c r="B355" t="s">
        <v>3432</v>
      </c>
      <c r="C355">
        <v>39</v>
      </c>
      <c r="D355" t="s">
        <v>3436</v>
      </c>
      <c r="E355" t="s">
        <v>3347</v>
      </c>
      <c r="F355" t="s">
        <v>3399</v>
      </c>
      <c r="G355">
        <v>1917</v>
      </c>
      <c r="H355">
        <v>1961</v>
      </c>
      <c r="I355">
        <v>1042.4159999999999</v>
      </c>
      <c r="J355">
        <v>969.2639999999999</v>
      </c>
      <c r="K355">
        <v>36.575999999999993</v>
      </c>
      <c r="L355" t="s">
        <v>3435</v>
      </c>
    </row>
    <row r="356" spans="1:12">
      <c r="A356" t="s">
        <v>3431</v>
      </c>
      <c r="B356" t="s">
        <v>3432</v>
      </c>
      <c r="C356">
        <v>40</v>
      </c>
      <c r="D356" t="s">
        <v>3436</v>
      </c>
      <c r="E356" t="s">
        <v>3347</v>
      </c>
      <c r="F356" t="s">
        <v>3399</v>
      </c>
      <c r="G356">
        <v>1917</v>
      </c>
      <c r="H356">
        <v>1961</v>
      </c>
      <c r="I356">
        <v>1068.3240000000001</v>
      </c>
      <c r="J356">
        <v>994.15600000000006</v>
      </c>
      <c r="K356">
        <v>37.084000000000003</v>
      </c>
      <c r="L356" t="s">
        <v>3435</v>
      </c>
    </row>
    <row r="357" spans="1:12">
      <c r="A357" t="s">
        <v>3431</v>
      </c>
      <c r="B357" t="s">
        <v>3432</v>
      </c>
      <c r="C357">
        <v>42</v>
      </c>
      <c r="D357" t="s">
        <v>3436</v>
      </c>
      <c r="E357" t="s">
        <v>3347</v>
      </c>
      <c r="F357" t="s">
        <v>3399</v>
      </c>
      <c r="G357">
        <v>1917</v>
      </c>
      <c r="H357">
        <v>1961</v>
      </c>
      <c r="I357">
        <v>1120.6479999999999</v>
      </c>
      <c r="J357">
        <v>1044.4480000000001</v>
      </c>
      <c r="K357">
        <v>38.1</v>
      </c>
      <c r="L357" t="s">
        <v>3435</v>
      </c>
    </row>
    <row r="358" spans="1:12">
      <c r="A358" t="s">
        <v>3431</v>
      </c>
      <c r="B358" t="s">
        <v>3432</v>
      </c>
      <c r="C358">
        <v>44</v>
      </c>
      <c r="D358" t="s">
        <v>3436</v>
      </c>
      <c r="E358" t="s">
        <v>3347</v>
      </c>
      <c r="F358" t="s">
        <v>3399</v>
      </c>
      <c r="G358">
        <v>1917</v>
      </c>
      <c r="H358">
        <v>1961</v>
      </c>
      <c r="I358">
        <v>1172.4639999999999</v>
      </c>
      <c r="J358">
        <v>1094.74</v>
      </c>
      <c r="K358">
        <v>38.862000000000002</v>
      </c>
      <c r="L358" t="s">
        <v>3435</v>
      </c>
    </row>
    <row r="359" spans="1:12">
      <c r="A359" t="s">
        <v>3431</v>
      </c>
      <c r="B359" t="s">
        <v>3432</v>
      </c>
      <c r="C359">
        <v>45</v>
      </c>
      <c r="D359" t="s">
        <v>3436</v>
      </c>
      <c r="E359" t="s">
        <v>3347</v>
      </c>
      <c r="F359" t="s">
        <v>3399</v>
      </c>
      <c r="G359">
        <v>1917</v>
      </c>
      <c r="H359">
        <v>1961</v>
      </c>
      <c r="I359">
        <v>1198.3720000000001</v>
      </c>
      <c r="J359">
        <v>1119.6320000000001</v>
      </c>
      <c r="K359">
        <v>39.369999999999997</v>
      </c>
      <c r="L359" t="s">
        <v>3435</v>
      </c>
    </row>
    <row r="360" spans="1:12">
      <c r="A360" t="s">
        <v>3431</v>
      </c>
      <c r="B360" t="s">
        <v>3432</v>
      </c>
      <c r="C360">
        <v>46</v>
      </c>
      <c r="D360" t="s">
        <v>3436</v>
      </c>
      <c r="E360" t="s">
        <v>3347</v>
      </c>
      <c r="F360" t="s">
        <v>3399</v>
      </c>
      <c r="G360">
        <v>1917</v>
      </c>
      <c r="H360">
        <v>1961</v>
      </c>
      <c r="I360">
        <v>1224.788</v>
      </c>
      <c r="J360">
        <v>1145.0319999999999</v>
      </c>
      <c r="K360">
        <v>39.878</v>
      </c>
      <c r="L360" t="s">
        <v>3435</v>
      </c>
    </row>
    <row r="361" spans="1:12">
      <c r="A361" t="s">
        <v>3431</v>
      </c>
      <c r="B361" t="s">
        <v>3432</v>
      </c>
      <c r="C361">
        <v>48</v>
      </c>
      <c r="D361" t="s">
        <v>3436</v>
      </c>
      <c r="E361" t="s">
        <v>3347</v>
      </c>
      <c r="F361" t="s">
        <v>3399</v>
      </c>
      <c r="G361">
        <v>1917</v>
      </c>
      <c r="H361">
        <v>1961</v>
      </c>
      <c r="I361">
        <v>1276.604</v>
      </c>
      <c r="J361">
        <v>1195.3240000000001</v>
      </c>
      <c r="K361">
        <v>40.64</v>
      </c>
      <c r="L361" t="s">
        <v>3435</v>
      </c>
    </row>
    <row r="362" spans="1:12">
      <c r="A362" t="s">
        <v>3431</v>
      </c>
      <c r="B362" t="s">
        <v>3432</v>
      </c>
      <c r="C362">
        <v>3</v>
      </c>
      <c r="D362" t="s">
        <v>3433</v>
      </c>
      <c r="E362" t="s">
        <v>3342</v>
      </c>
      <c r="F362" t="s">
        <v>3434</v>
      </c>
      <c r="G362">
        <v>1961</v>
      </c>
      <c r="H362">
        <v>1988</v>
      </c>
      <c r="I362">
        <v>3.76</v>
      </c>
      <c r="J362">
        <v>3</v>
      </c>
      <c r="K362">
        <v>0.38</v>
      </c>
      <c r="L362" t="s">
        <v>3437</v>
      </c>
    </row>
    <row r="363" spans="1:12">
      <c r="A363" t="s">
        <v>3431</v>
      </c>
      <c r="B363" t="s">
        <v>3432</v>
      </c>
      <c r="C363">
        <v>4</v>
      </c>
      <c r="D363" t="s">
        <v>3433</v>
      </c>
      <c r="E363" t="s">
        <v>3342</v>
      </c>
      <c r="F363" t="s">
        <v>3434</v>
      </c>
      <c r="G363">
        <v>1961</v>
      </c>
      <c r="H363">
        <v>1988</v>
      </c>
      <c r="I363">
        <v>4.8</v>
      </c>
      <c r="J363">
        <v>4.0199999999999996</v>
      </c>
      <c r="K363">
        <v>0.39</v>
      </c>
      <c r="L363" t="s">
        <v>3437</v>
      </c>
    </row>
    <row r="364" spans="1:12">
      <c r="A364" t="s">
        <v>3431</v>
      </c>
      <c r="B364" t="s">
        <v>3432</v>
      </c>
      <c r="C364">
        <v>5</v>
      </c>
      <c r="D364" t="s">
        <v>3433</v>
      </c>
      <c r="E364" t="s">
        <v>3342</v>
      </c>
      <c r="F364" t="s">
        <v>3434</v>
      </c>
      <c r="G364">
        <v>1961</v>
      </c>
      <c r="H364">
        <v>1988</v>
      </c>
      <c r="I364">
        <v>5.9</v>
      </c>
      <c r="J364">
        <v>5.08</v>
      </c>
      <c r="K364">
        <v>0.41</v>
      </c>
      <c r="L364" t="s">
        <v>3437</v>
      </c>
    </row>
    <row r="365" spans="1:12">
      <c r="A365" t="s">
        <v>3431</v>
      </c>
      <c r="B365" t="s">
        <v>3432</v>
      </c>
      <c r="C365">
        <v>6</v>
      </c>
      <c r="D365" t="s">
        <v>3433</v>
      </c>
      <c r="E365" t="s">
        <v>3342</v>
      </c>
      <c r="F365" t="s">
        <v>3434</v>
      </c>
      <c r="G365">
        <v>1961</v>
      </c>
      <c r="H365">
        <v>1988</v>
      </c>
      <c r="I365">
        <v>6.98</v>
      </c>
      <c r="J365">
        <v>6.12</v>
      </c>
      <c r="K365">
        <v>0.43</v>
      </c>
      <c r="L365" t="s">
        <v>3437</v>
      </c>
    </row>
    <row r="366" spans="1:12">
      <c r="A366" t="s">
        <v>3431</v>
      </c>
      <c r="B366" t="s">
        <v>3432</v>
      </c>
      <c r="C366">
        <v>7</v>
      </c>
      <c r="D366" t="s">
        <v>3433</v>
      </c>
      <c r="E366" t="s">
        <v>3342</v>
      </c>
      <c r="F366" t="s">
        <v>3434</v>
      </c>
      <c r="G366">
        <v>1961</v>
      </c>
      <c r="H366">
        <v>1988</v>
      </c>
      <c r="I366">
        <v>8.06</v>
      </c>
      <c r="J366">
        <v>7.16</v>
      </c>
      <c r="K366">
        <v>0.45</v>
      </c>
      <c r="L366" t="s">
        <v>3437</v>
      </c>
    </row>
    <row r="367" spans="1:12">
      <c r="A367" t="s">
        <v>3431</v>
      </c>
      <c r="B367" t="s">
        <v>3432</v>
      </c>
      <c r="C367">
        <v>8</v>
      </c>
      <c r="D367" t="s">
        <v>3433</v>
      </c>
      <c r="E367" t="s">
        <v>3342</v>
      </c>
      <c r="F367" t="s">
        <v>3434</v>
      </c>
      <c r="G367">
        <v>1961</v>
      </c>
      <c r="H367">
        <v>1988</v>
      </c>
      <c r="I367">
        <v>9.14</v>
      </c>
      <c r="J367">
        <v>8.1999999999999993</v>
      </c>
      <c r="K367">
        <v>0.47</v>
      </c>
      <c r="L367" t="s">
        <v>3437</v>
      </c>
    </row>
    <row r="368" spans="1:12">
      <c r="A368" t="s">
        <v>3431</v>
      </c>
      <c r="B368" t="s">
        <v>3432</v>
      </c>
      <c r="C368">
        <v>9</v>
      </c>
      <c r="D368" t="s">
        <v>3433</v>
      </c>
      <c r="E368" t="s">
        <v>3342</v>
      </c>
      <c r="F368" t="s">
        <v>3434</v>
      </c>
      <c r="G368">
        <v>1961</v>
      </c>
      <c r="H368">
        <v>1988</v>
      </c>
      <c r="I368">
        <v>10.199999999999999</v>
      </c>
      <c r="J368">
        <v>9.2200000000000006</v>
      </c>
      <c r="K368">
        <v>0.49</v>
      </c>
      <c r="L368" t="s">
        <v>3437</v>
      </c>
    </row>
    <row r="369" spans="1:12">
      <c r="A369" t="s">
        <v>3431</v>
      </c>
      <c r="B369" t="s">
        <v>3432</v>
      </c>
      <c r="C369">
        <v>10</v>
      </c>
      <c r="D369" t="s">
        <v>3433</v>
      </c>
      <c r="E369" t="s">
        <v>3342</v>
      </c>
      <c r="F369" t="s">
        <v>3434</v>
      </c>
      <c r="G369">
        <v>1961</v>
      </c>
      <c r="H369">
        <v>1988</v>
      </c>
      <c r="I369">
        <v>11.26</v>
      </c>
      <c r="J369">
        <v>10.220000000000001</v>
      </c>
      <c r="K369">
        <v>0.52</v>
      </c>
      <c r="L369" t="s">
        <v>3437</v>
      </c>
    </row>
    <row r="370" spans="1:12">
      <c r="A370" t="s">
        <v>3431</v>
      </c>
      <c r="B370" t="s">
        <v>3432</v>
      </c>
      <c r="C370">
        <v>12</v>
      </c>
      <c r="D370" t="s">
        <v>3433</v>
      </c>
      <c r="E370" t="s">
        <v>3342</v>
      </c>
      <c r="F370" t="s">
        <v>3434</v>
      </c>
      <c r="G370">
        <v>1961</v>
      </c>
      <c r="H370">
        <v>1988</v>
      </c>
      <c r="I370">
        <v>13.14</v>
      </c>
      <c r="J370">
        <v>12</v>
      </c>
      <c r="K370">
        <v>0.56999999999999995</v>
      </c>
      <c r="L370" t="s">
        <v>3437</v>
      </c>
    </row>
    <row r="371" spans="1:12">
      <c r="A371" t="s">
        <v>3431</v>
      </c>
      <c r="B371" t="s">
        <v>3432</v>
      </c>
      <c r="C371">
        <v>14</v>
      </c>
      <c r="D371" t="s">
        <v>3433</v>
      </c>
      <c r="E371" t="s">
        <v>3342</v>
      </c>
      <c r="F371" t="s">
        <v>3434</v>
      </c>
      <c r="G371">
        <v>1961</v>
      </c>
      <c r="H371">
        <v>1988</v>
      </c>
      <c r="I371">
        <v>15.22</v>
      </c>
      <c r="J371">
        <v>14</v>
      </c>
      <c r="K371">
        <v>0.61</v>
      </c>
      <c r="L371" t="s">
        <v>3437</v>
      </c>
    </row>
    <row r="372" spans="1:12">
      <c r="A372" t="s">
        <v>3431</v>
      </c>
      <c r="B372" t="s">
        <v>3432</v>
      </c>
      <c r="C372">
        <v>15</v>
      </c>
      <c r="D372" t="s">
        <v>3433</v>
      </c>
      <c r="E372" t="s">
        <v>3342</v>
      </c>
      <c r="F372" t="s">
        <v>3434</v>
      </c>
      <c r="G372">
        <v>1961</v>
      </c>
      <c r="H372">
        <v>1988</v>
      </c>
      <c r="I372">
        <v>16.260000000000002</v>
      </c>
      <c r="J372">
        <v>15</v>
      </c>
      <c r="K372">
        <v>0.63</v>
      </c>
      <c r="L372" t="s">
        <v>3437</v>
      </c>
    </row>
    <row r="373" spans="1:12">
      <c r="A373" t="s">
        <v>3431</v>
      </c>
      <c r="B373" t="s">
        <v>3432</v>
      </c>
      <c r="C373">
        <v>16</v>
      </c>
      <c r="D373" t="s">
        <v>3433</v>
      </c>
      <c r="E373" t="s">
        <v>3342</v>
      </c>
      <c r="F373" t="s">
        <v>3434</v>
      </c>
      <c r="G373">
        <v>1961</v>
      </c>
      <c r="H373">
        <v>1988</v>
      </c>
      <c r="I373">
        <v>17.3</v>
      </c>
      <c r="J373">
        <v>16</v>
      </c>
      <c r="K373">
        <v>0.65</v>
      </c>
      <c r="L373" t="s">
        <v>3437</v>
      </c>
    </row>
    <row r="374" spans="1:12">
      <c r="A374" t="s">
        <v>3431</v>
      </c>
      <c r="B374" t="s">
        <v>3432</v>
      </c>
      <c r="C374">
        <v>18</v>
      </c>
      <c r="D374" t="s">
        <v>3433</v>
      </c>
      <c r="E374" t="s">
        <v>3342</v>
      </c>
      <c r="F374" t="s">
        <v>3434</v>
      </c>
      <c r="G374">
        <v>1961</v>
      </c>
      <c r="H374">
        <v>1988</v>
      </c>
      <c r="I374">
        <v>19.38</v>
      </c>
      <c r="J374">
        <v>18</v>
      </c>
      <c r="K374">
        <v>0.69</v>
      </c>
      <c r="L374" t="s">
        <v>3437</v>
      </c>
    </row>
    <row r="375" spans="1:12">
      <c r="A375" t="s">
        <v>3431</v>
      </c>
      <c r="B375" t="s">
        <v>3432</v>
      </c>
      <c r="C375">
        <v>20</v>
      </c>
      <c r="D375" t="s">
        <v>3433</v>
      </c>
      <c r="E375" t="s">
        <v>3342</v>
      </c>
      <c r="F375" t="s">
        <v>3434</v>
      </c>
      <c r="G375">
        <v>1961</v>
      </c>
      <c r="H375">
        <v>1988</v>
      </c>
      <c r="I375">
        <v>21.46</v>
      </c>
      <c r="J375">
        <v>20</v>
      </c>
      <c r="K375">
        <v>0.73</v>
      </c>
      <c r="L375" t="s">
        <v>3437</v>
      </c>
    </row>
    <row r="376" spans="1:12">
      <c r="A376" t="s">
        <v>3431</v>
      </c>
      <c r="B376" t="s">
        <v>3432</v>
      </c>
      <c r="C376">
        <v>21</v>
      </c>
      <c r="D376" t="s">
        <v>3433</v>
      </c>
      <c r="E376" t="s">
        <v>3342</v>
      </c>
      <c r="F376" t="s">
        <v>3434</v>
      </c>
      <c r="G376">
        <v>1961</v>
      </c>
      <c r="H376">
        <v>1988</v>
      </c>
      <c r="I376">
        <v>22.5</v>
      </c>
      <c r="J376">
        <v>21</v>
      </c>
      <c r="K376">
        <v>0.75</v>
      </c>
      <c r="L376" t="s">
        <v>3437</v>
      </c>
    </row>
    <row r="377" spans="1:12">
      <c r="A377" t="s">
        <v>3431</v>
      </c>
      <c r="B377" t="s">
        <v>3432</v>
      </c>
      <c r="C377">
        <v>22</v>
      </c>
      <c r="D377" t="s">
        <v>3433</v>
      </c>
      <c r="E377" t="s">
        <v>3342</v>
      </c>
      <c r="F377" t="s">
        <v>3434</v>
      </c>
      <c r="G377">
        <v>1961</v>
      </c>
      <c r="H377">
        <v>1988</v>
      </c>
      <c r="I377">
        <v>23.54</v>
      </c>
      <c r="J377">
        <v>22</v>
      </c>
      <c r="K377">
        <v>0.77</v>
      </c>
      <c r="L377" t="s">
        <v>3437</v>
      </c>
    </row>
    <row r="378" spans="1:12">
      <c r="A378" t="s">
        <v>3431</v>
      </c>
      <c r="B378" t="s">
        <v>3432</v>
      </c>
      <c r="C378">
        <v>24</v>
      </c>
      <c r="D378" t="s">
        <v>3433</v>
      </c>
      <c r="E378" t="s">
        <v>3342</v>
      </c>
      <c r="F378" t="s">
        <v>3434</v>
      </c>
      <c r="G378">
        <v>1961</v>
      </c>
      <c r="H378">
        <v>1988</v>
      </c>
      <c r="I378">
        <v>25.6</v>
      </c>
      <c r="J378">
        <v>24</v>
      </c>
      <c r="K378">
        <v>0.8</v>
      </c>
      <c r="L378" t="s">
        <v>3437</v>
      </c>
    </row>
    <row r="379" spans="1:12">
      <c r="A379" t="s">
        <v>3431</v>
      </c>
      <c r="B379" t="s">
        <v>3432</v>
      </c>
      <c r="C379">
        <v>26</v>
      </c>
      <c r="D379" t="s">
        <v>3433</v>
      </c>
      <c r="E379" t="s">
        <v>3342</v>
      </c>
      <c r="F379" t="s">
        <v>3434</v>
      </c>
      <c r="G379">
        <v>1961</v>
      </c>
      <c r="H379">
        <v>1988</v>
      </c>
      <c r="I379">
        <v>27.66</v>
      </c>
      <c r="J379">
        <v>26</v>
      </c>
      <c r="K379">
        <v>0.83</v>
      </c>
      <c r="L379" t="s">
        <v>3437</v>
      </c>
    </row>
    <row r="380" spans="1:12">
      <c r="A380" t="s">
        <v>3431</v>
      </c>
      <c r="B380" t="s">
        <v>3432</v>
      </c>
      <c r="C380">
        <v>27</v>
      </c>
      <c r="D380" t="s">
        <v>3433</v>
      </c>
      <c r="E380" t="s">
        <v>3342</v>
      </c>
      <c r="F380" t="s">
        <v>3434</v>
      </c>
      <c r="G380">
        <v>1961</v>
      </c>
      <c r="H380">
        <v>1988</v>
      </c>
      <c r="I380">
        <v>28.7</v>
      </c>
      <c r="J380">
        <v>27</v>
      </c>
      <c r="K380">
        <v>0.85</v>
      </c>
      <c r="L380" t="s">
        <v>3437</v>
      </c>
    </row>
    <row r="381" spans="1:12">
      <c r="A381" t="s">
        <v>3431</v>
      </c>
      <c r="B381" t="s">
        <v>3432</v>
      </c>
      <c r="C381">
        <v>28</v>
      </c>
      <c r="D381" t="s">
        <v>3433</v>
      </c>
      <c r="E381" t="s">
        <v>3342</v>
      </c>
      <c r="F381" t="s">
        <v>3434</v>
      </c>
      <c r="G381">
        <v>1961</v>
      </c>
      <c r="H381">
        <v>1988</v>
      </c>
      <c r="I381">
        <v>29.72</v>
      </c>
      <c r="J381">
        <v>28</v>
      </c>
      <c r="K381">
        <v>0.86</v>
      </c>
      <c r="L381" t="s">
        <v>3437</v>
      </c>
    </row>
    <row r="382" spans="1:12">
      <c r="A382" t="s">
        <v>3431</v>
      </c>
      <c r="B382" t="s">
        <v>3432</v>
      </c>
      <c r="C382">
        <v>30</v>
      </c>
      <c r="D382" t="s">
        <v>3433</v>
      </c>
      <c r="E382" t="s">
        <v>3342</v>
      </c>
      <c r="F382" t="s">
        <v>3434</v>
      </c>
      <c r="G382">
        <v>1961</v>
      </c>
      <c r="H382">
        <v>1988</v>
      </c>
      <c r="I382">
        <v>31.78</v>
      </c>
      <c r="J382">
        <v>30</v>
      </c>
      <c r="K382">
        <v>0.89</v>
      </c>
      <c r="L382" t="s">
        <v>3437</v>
      </c>
    </row>
    <row r="383" spans="1:12">
      <c r="A383" t="s">
        <v>3431</v>
      </c>
      <c r="B383" t="s">
        <v>3432</v>
      </c>
      <c r="C383">
        <v>32</v>
      </c>
      <c r="D383" t="s">
        <v>3433</v>
      </c>
      <c r="E383" t="s">
        <v>3342</v>
      </c>
      <c r="F383" t="s">
        <v>3434</v>
      </c>
      <c r="G383">
        <v>1961</v>
      </c>
      <c r="H383">
        <v>1988</v>
      </c>
      <c r="I383">
        <v>33.840000000000003</v>
      </c>
      <c r="J383">
        <v>32</v>
      </c>
      <c r="K383">
        <v>0.92</v>
      </c>
      <c r="L383" t="s">
        <v>3437</v>
      </c>
    </row>
    <row r="384" spans="1:12">
      <c r="A384" t="s">
        <v>3431</v>
      </c>
      <c r="B384" t="s">
        <v>3432</v>
      </c>
      <c r="C384">
        <v>33</v>
      </c>
      <c r="D384" t="s">
        <v>3433</v>
      </c>
      <c r="E384" t="s">
        <v>3342</v>
      </c>
      <c r="F384" t="s">
        <v>3434</v>
      </c>
      <c r="G384">
        <v>1961</v>
      </c>
      <c r="H384">
        <v>1988</v>
      </c>
      <c r="I384">
        <v>34.880000000000003</v>
      </c>
      <c r="J384">
        <v>33</v>
      </c>
      <c r="K384">
        <v>0.94</v>
      </c>
      <c r="L384" t="s">
        <v>3437</v>
      </c>
    </row>
    <row r="385" spans="1:12">
      <c r="A385" t="s">
        <v>3431</v>
      </c>
      <c r="B385" t="s">
        <v>3432</v>
      </c>
      <c r="C385">
        <v>36</v>
      </c>
      <c r="D385" t="s">
        <v>3433</v>
      </c>
      <c r="E385" t="s">
        <v>3342</v>
      </c>
      <c r="F385" t="s">
        <v>3434</v>
      </c>
      <c r="G385">
        <v>1961</v>
      </c>
      <c r="H385">
        <v>1988</v>
      </c>
      <c r="I385">
        <v>37.96</v>
      </c>
      <c r="J385">
        <v>36</v>
      </c>
      <c r="K385">
        <v>0.98</v>
      </c>
      <c r="L385" t="s">
        <v>3437</v>
      </c>
    </row>
    <row r="386" spans="1:12">
      <c r="A386" t="s">
        <v>3431</v>
      </c>
      <c r="B386" t="s">
        <v>3432</v>
      </c>
      <c r="C386">
        <v>38</v>
      </c>
      <c r="D386" t="s">
        <v>3433</v>
      </c>
      <c r="E386" t="s">
        <v>3342</v>
      </c>
      <c r="F386" t="s">
        <v>3434</v>
      </c>
      <c r="G386">
        <v>1961</v>
      </c>
      <c r="H386">
        <v>1988</v>
      </c>
      <c r="I386">
        <v>40.020000000000003</v>
      </c>
      <c r="J386">
        <v>38</v>
      </c>
      <c r="K386">
        <v>1.01</v>
      </c>
      <c r="L386" t="s">
        <v>3437</v>
      </c>
    </row>
    <row r="387" spans="1:12">
      <c r="A387" t="s">
        <v>3431</v>
      </c>
      <c r="B387" t="s">
        <v>3432</v>
      </c>
      <c r="C387">
        <v>39</v>
      </c>
      <c r="D387" t="s">
        <v>3433</v>
      </c>
      <c r="E387" t="s">
        <v>3342</v>
      </c>
      <c r="F387" t="s">
        <v>3434</v>
      </c>
      <c r="G387">
        <v>1961</v>
      </c>
      <c r="H387">
        <v>1988</v>
      </c>
      <c r="I387">
        <v>4.1040000000000001</v>
      </c>
      <c r="J387">
        <v>2.0640000000000001</v>
      </c>
      <c r="K387">
        <v>1.02</v>
      </c>
      <c r="L387" t="s">
        <v>3437</v>
      </c>
    </row>
    <row r="388" spans="1:12">
      <c r="A388" t="s">
        <v>3431</v>
      </c>
      <c r="B388" t="s">
        <v>3432</v>
      </c>
      <c r="C388">
        <v>40</v>
      </c>
      <c r="D388" t="s">
        <v>3433</v>
      </c>
      <c r="E388" t="s">
        <v>3342</v>
      </c>
      <c r="F388" t="s">
        <v>3434</v>
      </c>
      <c r="G388">
        <v>1961</v>
      </c>
      <c r="H388">
        <v>1988</v>
      </c>
      <c r="I388">
        <v>42.06</v>
      </c>
      <c r="J388">
        <v>40</v>
      </c>
      <c r="K388">
        <v>1.03</v>
      </c>
      <c r="L388" t="s">
        <v>3437</v>
      </c>
    </row>
    <row r="389" spans="1:12">
      <c r="A389" t="s">
        <v>3431</v>
      </c>
      <c r="B389" t="s">
        <v>3432</v>
      </c>
      <c r="C389">
        <v>42</v>
      </c>
      <c r="D389" t="s">
        <v>3433</v>
      </c>
      <c r="E389" t="s">
        <v>3342</v>
      </c>
      <c r="F389" t="s">
        <v>3434</v>
      </c>
      <c r="G389">
        <v>1961</v>
      </c>
      <c r="H389">
        <v>1988</v>
      </c>
      <c r="I389">
        <v>44.12</v>
      </c>
      <c r="J389">
        <v>42</v>
      </c>
      <c r="K389">
        <v>1.06</v>
      </c>
      <c r="L389" t="s">
        <v>3437</v>
      </c>
    </row>
    <row r="390" spans="1:12">
      <c r="A390" t="s">
        <v>3431</v>
      </c>
      <c r="B390" t="s">
        <v>3432</v>
      </c>
      <c r="C390">
        <v>44</v>
      </c>
      <c r="D390" t="s">
        <v>3433</v>
      </c>
      <c r="E390" t="s">
        <v>3342</v>
      </c>
      <c r="F390" t="s">
        <v>3434</v>
      </c>
      <c r="G390">
        <v>1961</v>
      </c>
      <c r="H390">
        <v>1988</v>
      </c>
      <c r="I390">
        <v>46.16</v>
      </c>
      <c r="J390">
        <v>44</v>
      </c>
      <c r="K390">
        <v>1.08</v>
      </c>
      <c r="L390" t="s">
        <v>3437</v>
      </c>
    </row>
    <row r="391" spans="1:12">
      <c r="A391" t="s">
        <v>3431</v>
      </c>
      <c r="B391" t="s">
        <v>3432</v>
      </c>
      <c r="C391">
        <v>45</v>
      </c>
      <c r="D391" t="s">
        <v>3433</v>
      </c>
      <c r="E391" t="s">
        <v>3342</v>
      </c>
      <c r="F391" t="s">
        <v>3434</v>
      </c>
      <c r="G391">
        <v>1961</v>
      </c>
      <c r="H391">
        <v>1988</v>
      </c>
      <c r="I391">
        <v>47.18</v>
      </c>
      <c r="J391">
        <v>45</v>
      </c>
      <c r="K391">
        <v>1.0900000000000001</v>
      </c>
      <c r="L391" t="s">
        <v>3437</v>
      </c>
    </row>
    <row r="392" spans="1:12">
      <c r="A392" t="s">
        <v>3431</v>
      </c>
      <c r="B392" t="s">
        <v>3432</v>
      </c>
      <c r="C392">
        <v>46</v>
      </c>
      <c r="D392" t="s">
        <v>3433</v>
      </c>
      <c r="E392" t="s">
        <v>3342</v>
      </c>
      <c r="F392" t="s">
        <v>3434</v>
      </c>
      <c r="G392">
        <v>1961</v>
      </c>
      <c r="H392">
        <v>1988</v>
      </c>
      <c r="I392">
        <v>48.22</v>
      </c>
      <c r="J392">
        <v>46.02</v>
      </c>
      <c r="K392">
        <v>1.1000000000000001</v>
      </c>
      <c r="L392" t="s">
        <v>3437</v>
      </c>
    </row>
    <row r="393" spans="1:12">
      <c r="A393" t="s">
        <v>3431</v>
      </c>
      <c r="B393" t="s">
        <v>3432</v>
      </c>
      <c r="C393">
        <v>48</v>
      </c>
      <c r="D393" t="s">
        <v>3433</v>
      </c>
      <c r="E393" t="s">
        <v>3342</v>
      </c>
      <c r="F393" t="s">
        <v>3434</v>
      </c>
      <c r="G393">
        <v>1961</v>
      </c>
      <c r="H393">
        <v>1988</v>
      </c>
      <c r="I393">
        <v>50.26</v>
      </c>
      <c r="J393">
        <v>48</v>
      </c>
      <c r="K393">
        <v>1.1299999999999999</v>
      </c>
      <c r="L393" t="s">
        <v>3437</v>
      </c>
    </row>
    <row r="394" spans="1:12">
      <c r="A394" t="s">
        <v>3431</v>
      </c>
      <c r="B394" t="s">
        <v>3432</v>
      </c>
      <c r="C394">
        <v>3</v>
      </c>
      <c r="D394" t="s">
        <v>3433</v>
      </c>
      <c r="E394" t="s">
        <v>3345</v>
      </c>
      <c r="F394" t="s">
        <v>3398</v>
      </c>
      <c r="G394">
        <v>1961</v>
      </c>
      <c r="H394">
        <v>1988</v>
      </c>
      <c r="I394">
        <v>3.76</v>
      </c>
      <c r="J394">
        <v>3</v>
      </c>
      <c r="K394">
        <v>0.38</v>
      </c>
      <c r="L394" t="s">
        <v>3437</v>
      </c>
    </row>
    <row r="395" spans="1:12">
      <c r="A395" t="s">
        <v>3431</v>
      </c>
      <c r="B395" t="s">
        <v>3432</v>
      </c>
      <c r="C395">
        <v>4</v>
      </c>
      <c r="D395" t="s">
        <v>3433</v>
      </c>
      <c r="E395" t="s">
        <v>3345</v>
      </c>
      <c r="F395" t="s">
        <v>3398</v>
      </c>
      <c r="G395">
        <v>1961</v>
      </c>
      <c r="H395">
        <v>1988</v>
      </c>
      <c r="I395">
        <v>4.8</v>
      </c>
      <c r="J395">
        <v>4</v>
      </c>
      <c r="K395">
        <v>0.4</v>
      </c>
      <c r="L395" t="s">
        <v>3437</v>
      </c>
    </row>
    <row r="396" spans="1:12">
      <c r="A396" t="s">
        <v>3431</v>
      </c>
      <c r="B396" t="s">
        <v>3432</v>
      </c>
      <c r="C396">
        <v>5</v>
      </c>
      <c r="D396" t="s">
        <v>3433</v>
      </c>
      <c r="E396" t="s">
        <v>3345</v>
      </c>
      <c r="F396" t="s">
        <v>3398</v>
      </c>
      <c r="G396">
        <v>1961</v>
      </c>
      <c r="H396">
        <v>1988</v>
      </c>
      <c r="I396">
        <v>5.9</v>
      </c>
      <c r="J396">
        <v>5</v>
      </c>
      <c r="K396">
        <v>0.45</v>
      </c>
      <c r="L396" t="s">
        <v>3437</v>
      </c>
    </row>
    <row r="397" spans="1:12">
      <c r="A397" t="s">
        <v>3431</v>
      </c>
      <c r="B397" t="s">
        <v>3432</v>
      </c>
      <c r="C397">
        <v>6</v>
      </c>
      <c r="D397" t="s">
        <v>3433</v>
      </c>
      <c r="E397" t="s">
        <v>3345</v>
      </c>
      <c r="F397" t="s">
        <v>3398</v>
      </c>
      <c r="G397">
        <v>1961</v>
      </c>
      <c r="H397">
        <v>1988</v>
      </c>
      <c r="I397">
        <v>6.98</v>
      </c>
      <c r="J397">
        <v>6</v>
      </c>
      <c r="K397">
        <v>0.49</v>
      </c>
      <c r="L397" t="s">
        <v>3437</v>
      </c>
    </row>
    <row r="398" spans="1:12">
      <c r="A398" t="s">
        <v>3431</v>
      </c>
      <c r="B398" t="s">
        <v>3432</v>
      </c>
      <c r="C398">
        <v>7</v>
      </c>
      <c r="D398" t="s">
        <v>3433</v>
      </c>
      <c r="E398" t="s">
        <v>3345</v>
      </c>
      <c r="F398" t="s">
        <v>3398</v>
      </c>
      <c r="G398">
        <v>1961</v>
      </c>
      <c r="H398">
        <v>1988</v>
      </c>
      <c r="I398">
        <v>8.06</v>
      </c>
      <c r="J398">
        <v>7</v>
      </c>
      <c r="K398">
        <v>0.53</v>
      </c>
      <c r="L398" t="s">
        <v>3437</v>
      </c>
    </row>
    <row r="399" spans="1:12">
      <c r="A399" t="s">
        <v>3431</v>
      </c>
      <c r="B399" t="s">
        <v>3432</v>
      </c>
      <c r="C399">
        <v>8</v>
      </c>
      <c r="D399" t="s">
        <v>3433</v>
      </c>
      <c r="E399" t="s">
        <v>3345</v>
      </c>
      <c r="F399" t="s">
        <v>3398</v>
      </c>
      <c r="G399">
        <v>1961</v>
      </c>
      <c r="H399">
        <v>1988</v>
      </c>
      <c r="I399">
        <v>9.14</v>
      </c>
      <c r="J399">
        <v>8</v>
      </c>
      <c r="K399">
        <v>0.56999999999999995</v>
      </c>
      <c r="L399" t="s">
        <v>3437</v>
      </c>
    </row>
    <row r="400" spans="1:12">
      <c r="A400" t="s">
        <v>3431</v>
      </c>
      <c r="B400" t="s">
        <v>3432</v>
      </c>
      <c r="C400">
        <v>9</v>
      </c>
      <c r="D400" t="s">
        <v>3433</v>
      </c>
      <c r="E400" t="s">
        <v>3345</v>
      </c>
      <c r="F400" t="s">
        <v>3398</v>
      </c>
      <c r="G400">
        <v>1961</v>
      </c>
      <c r="H400">
        <v>1988</v>
      </c>
      <c r="I400">
        <v>10.199999999999999</v>
      </c>
      <c r="J400">
        <v>9</v>
      </c>
      <c r="K400">
        <v>0.6</v>
      </c>
      <c r="L400" t="s">
        <v>3437</v>
      </c>
    </row>
    <row r="401" spans="1:12">
      <c r="A401" t="s">
        <v>3431</v>
      </c>
      <c r="B401" t="s">
        <v>3432</v>
      </c>
      <c r="C401">
        <v>10</v>
      </c>
      <c r="D401" t="s">
        <v>3433</v>
      </c>
      <c r="E401" t="s">
        <v>3345</v>
      </c>
      <c r="F401" t="s">
        <v>3398</v>
      </c>
      <c r="G401">
        <v>1961</v>
      </c>
      <c r="H401">
        <v>1988</v>
      </c>
      <c r="I401">
        <v>11.26</v>
      </c>
      <c r="J401">
        <v>10</v>
      </c>
      <c r="K401">
        <v>0.63</v>
      </c>
      <c r="L401" t="s">
        <v>3437</v>
      </c>
    </row>
    <row r="402" spans="1:12">
      <c r="A402" t="s">
        <v>3431</v>
      </c>
      <c r="B402" t="s">
        <v>3432</v>
      </c>
      <c r="C402">
        <v>12</v>
      </c>
      <c r="D402" t="s">
        <v>3433</v>
      </c>
      <c r="E402" t="s">
        <v>3345</v>
      </c>
      <c r="F402" t="s">
        <v>3398</v>
      </c>
      <c r="G402">
        <v>1961</v>
      </c>
      <c r="H402">
        <v>1988</v>
      </c>
      <c r="I402">
        <v>13.6</v>
      </c>
      <c r="J402">
        <v>12.22</v>
      </c>
      <c r="K402">
        <v>0.69</v>
      </c>
      <c r="L402" t="s">
        <v>3437</v>
      </c>
    </row>
    <row r="403" spans="1:12">
      <c r="A403" t="s">
        <v>3431</v>
      </c>
      <c r="B403" t="s">
        <v>3432</v>
      </c>
      <c r="C403">
        <v>14</v>
      </c>
      <c r="D403" t="s">
        <v>3433</v>
      </c>
      <c r="E403" t="s">
        <v>3345</v>
      </c>
      <c r="F403" t="s">
        <v>3398</v>
      </c>
      <c r="G403">
        <v>1961</v>
      </c>
      <c r="H403">
        <v>1988</v>
      </c>
      <c r="I403">
        <v>15.72</v>
      </c>
      <c r="J403">
        <v>14.22</v>
      </c>
      <c r="K403">
        <v>0.75</v>
      </c>
      <c r="L403" t="s">
        <v>3437</v>
      </c>
    </row>
    <row r="404" spans="1:12">
      <c r="A404" t="s">
        <v>3431</v>
      </c>
      <c r="B404" t="s">
        <v>3432</v>
      </c>
      <c r="C404">
        <v>15</v>
      </c>
      <c r="D404" t="s">
        <v>3433</v>
      </c>
      <c r="E404" t="s">
        <v>3345</v>
      </c>
      <c r="F404" t="s">
        <v>3398</v>
      </c>
      <c r="G404">
        <v>1961</v>
      </c>
      <c r="H404">
        <v>1988</v>
      </c>
      <c r="I404">
        <v>16.78</v>
      </c>
      <c r="J404">
        <v>15.24</v>
      </c>
      <c r="K404">
        <v>0.77</v>
      </c>
      <c r="L404" t="s">
        <v>3437</v>
      </c>
    </row>
    <row r="405" spans="1:12">
      <c r="A405" t="s">
        <v>3431</v>
      </c>
      <c r="B405" t="s">
        <v>3432</v>
      </c>
      <c r="C405">
        <v>16</v>
      </c>
      <c r="D405" t="s">
        <v>3433</v>
      </c>
      <c r="E405" t="s">
        <v>3345</v>
      </c>
      <c r="F405" t="s">
        <v>3398</v>
      </c>
      <c r="G405">
        <v>1961</v>
      </c>
      <c r="H405">
        <v>1988</v>
      </c>
      <c r="I405">
        <v>17.84</v>
      </c>
      <c r="J405">
        <v>16.239999999999998</v>
      </c>
      <c r="K405">
        <v>0.8</v>
      </c>
      <c r="L405" t="s">
        <v>3437</v>
      </c>
    </row>
    <row r="406" spans="1:12">
      <c r="A406" t="s">
        <v>3431</v>
      </c>
      <c r="B406" t="s">
        <v>3432</v>
      </c>
      <c r="C406">
        <v>18</v>
      </c>
      <c r="D406" t="s">
        <v>3433</v>
      </c>
      <c r="E406" t="s">
        <v>3345</v>
      </c>
      <c r="F406" t="s">
        <v>3398</v>
      </c>
      <c r="G406">
        <v>1961</v>
      </c>
      <c r="H406">
        <v>1988</v>
      </c>
      <c r="I406">
        <v>19.96</v>
      </c>
      <c r="J406">
        <v>18.260000000000002</v>
      </c>
      <c r="K406">
        <v>0.85</v>
      </c>
      <c r="L406" t="s">
        <v>3437</v>
      </c>
    </row>
    <row r="407" spans="1:12">
      <c r="A407" t="s">
        <v>3431</v>
      </c>
      <c r="B407" t="s">
        <v>3432</v>
      </c>
      <c r="C407">
        <v>20</v>
      </c>
      <c r="D407" t="s">
        <v>3433</v>
      </c>
      <c r="E407" t="s">
        <v>3345</v>
      </c>
      <c r="F407" t="s">
        <v>3398</v>
      </c>
      <c r="G407">
        <v>1961</v>
      </c>
      <c r="H407">
        <v>1988</v>
      </c>
      <c r="I407">
        <v>22.06</v>
      </c>
      <c r="J407">
        <v>20.28</v>
      </c>
      <c r="K407">
        <v>0.89</v>
      </c>
      <c r="L407" t="s">
        <v>3437</v>
      </c>
    </row>
    <row r="408" spans="1:12">
      <c r="A408" t="s">
        <v>3431</v>
      </c>
      <c r="B408" t="s">
        <v>3432</v>
      </c>
      <c r="C408">
        <v>21</v>
      </c>
      <c r="D408" t="s">
        <v>3433</v>
      </c>
      <c r="E408" t="s">
        <v>3345</v>
      </c>
      <c r="F408" t="s">
        <v>3398</v>
      </c>
      <c r="G408">
        <v>1961</v>
      </c>
      <c r="H408">
        <v>1988</v>
      </c>
      <c r="I408">
        <v>23.12</v>
      </c>
      <c r="J408">
        <v>21.28</v>
      </c>
      <c r="K408">
        <v>0.92</v>
      </c>
      <c r="L408" t="s">
        <v>3437</v>
      </c>
    </row>
    <row r="409" spans="1:12">
      <c r="A409" t="s">
        <v>3431</v>
      </c>
      <c r="B409" t="s">
        <v>3432</v>
      </c>
      <c r="C409">
        <v>22</v>
      </c>
      <c r="D409" t="s">
        <v>3433</v>
      </c>
      <c r="E409" t="s">
        <v>3345</v>
      </c>
      <c r="F409" t="s">
        <v>3398</v>
      </c>
      <c r="G409">
        <v>1961</v>
      </c>
      <c r="H409">
        <v>1988</v>
      </c>
      <c r="I409">
        <v>24.16</v>
      </c>
      <c r="J409">
        <v>22.28</v>
      </c>
      <c r="K409">
        <v>0.94</v>
      </c>
      <c r="L409" t="s">
        <v>3437</v>
      </c>
    </row>
    <row r="410" spans="1:12">
      <c r="A410" t="s">
        <v>3431</v>
      </c>
      <c r="B410" t="s">
        <v>3432</v>
      </c>
      <c r="C410">
        <v>24</v>
      </c>
      <c r="D410" t="s">
        <v>3433</v>
      </c>
      <c r="E410" t="s">
        <v>3345</v>
      </c>
      <c r="F410" t="s">
        <v>3398</v>
      </c>
      <c r="G410">
        <v>1961</v>
      </c>
      <c r="H410">
        <v>1988</v>
      </c>
      <c r="I410">
        <v>26.26</v>
      </c>
      <c r="J410">
        <v>24.3</v>
      </c>
      <c r="K410">
        <v>0.98</v>
      </c>
      <c r="L410" t="s">
        <v>3437</v>
      </c>
    </row>
    <row r="411" spans="1:12">
      <c r="A411" t="s">
        <v>3431</v>
      </c>
      <c r="B411" t="s">
        <v>3432</v>
      </c>
      <c r="C411">
        <v>26</v>
      </c>
      <c r="D411" t="s">
        <v>3433</v>
      </c>
      <c r="E411" t="s">
        <v>3345</v>
      </c>
      <c r="F411" t="s">
        <v>3398</v>
      </c>
      <c r="G411">
        <v>1961</v>
      </c>
      <c r="H411">
        <v>1988</v>
      </c>
      <c r="I411">
        <v>28.36</v>
      </c>
      <c r="J411">
        <v>26.32</v>
      </c>
      <c r="K411">
        <v>1.02</v>
      </c>
      <c r="L411" t="s">
        <v>3437</v>
      </c>
    </row>
    <row r="412" spans="1:12">
      <c r="A412" t="s">
        <v>3431</v>
      </c>
      <c r="B412" t="s">
        <v>3432</v>
      </c>
      <c r="C412">
        <v>27</v>
      </c>
      <c r="D412" t="s">
        <v>3433</v>
      </c>
      <c r="E412" t="s">
        <v>3345</v>
      </c>
      <c r="F412" t="s">
        <v>3398</v>
      </c>
      <c r="G412">
        <v>1961</v>
      </c>
      <c r="H412">
        <v>1988</v>
      </c>
      <c r="I412">
        <v>29.4</v>
      </c>
      <c r="J412">
        <v>27.32</v>
      </c>
      <c r="K412">
        <v>1.04</v>
      </c>
      <c r="L412" t="s">
        <v>3437</v>
      </c>
    </row>
    <row r="413" spans="1:12">
      <c r="A413" t="s">
        <v>3431</v>
      </c>
      <c r="B413" t="s">
        <v>3432</v>
      </c>
      <c r="C413">
        <v>28</v>
      </c>
      <c r="D413" t="s">
        <v>3433</v>
      </c>
      <c r="E413" t="s">
        <v>3345</v>
      </c>
      <c r="F413" t="s">
        <v>3398</v>
      </c>
      <c r="G413">
        <v>1961</v>
      </c>
      <c r="H413">
        <v>1988</v>
      </c>
      <c r="I413">
        <v>30.44</v>
      </c>
      <c r="J413">
        <v>28.32</v>
      </c>
      <c r="K413">
        <v>1.06</v>
      </c>
      <c r="L413" t="s">
        <v>3437</v>
      </c>
    </row>
    <row r="414" spans="1:12">
      <c r="A414" t="s">
        <v>3431</v>
      </c>
      <c r="B414" t="s">
        <v>3432</v>
      </c>
      <c r="C414">
        <v>30</v>
      </c>
      <c r="D414" t="s">
        <v>3433</v>
      </c>
      <c r="E414" t="s">
        <v>3345</v>
      </c>
      <c r="F414" t="s">
        <v>3398</v>
      </c>
      <c r="G414">
        <v>1961</v>
      </c>
      <c r="H414">
        <v>1988</v>
      </c>
      <c r="I414">
        <v>32.520000000000003</v>
      </c>
      <c r="J414">
        <v>30.34</v>
      </c>
      <c r="K414">
        <v>1.0900000000000001</v>
      </c>
      <c r="L414" t="s">
        <v>3437</v>
      </c>
    </row>
    <row r="415" spans="1:12">
      <c r="A415" t="s">
        <v>3431</v>
      </c>
      <c r="B415" t="s">
        <v>3432</v>
      </c>
      <c r="C415">
        <v>32</v>
      </c>
      <c r="D415" t="s">
        <v>3433</v>
      </c>
      <c r="E415" t="s">
        <v>3345</v>
      </c>
      <c r="F415" t="s">
        <v>3398</v>
      </c>
      <c r="G415">
        <v>1961</v>
      </c>
      <c r="H415">
        <v>1988</v>
      </c>
      <c r="I415">
        <v>34.619999999999997</v>
      </c>
      <c r="J415">
        <v>32.36</v>
      </c>
      <c r="K415">
        <v>1.1299999999999999</v>
      </c>
      <c r="L415" t="s">
        <v>3437</v>
      </c>
    </row>
    <row r="416" spans="1:12">
      <c r="A416" t="s">
        <v>3431</v>
      </c>
      <c r="B416" t="s">
        <v>3432</v>
      </c>
      <c r="C416">
        <v>33</v>
      </c>
      <c r="D416" t="s">
        <v>3433</v>
      </c>
      <c r="E416" t="s">
        <v>3345</v>
      </c>
      <c r="F416" t="s">
        <v>3398</v>
      </c>
      <c r="G416">
        <v>1961</v>
      </c>
      <c r="H416">
        <v>1988</v>
      </c>
      <c r="I416">
        <v>35.659999999999997</v>
      </c>
      <c r="J416">
        <v>33.36</v>
      </c>
      <c r="K416">
        <v>1.1499999999999999</v>
      </c>
      <c r="L416" t="s">
        <v>3437</v>
      </c>
    </row>
    <row r="417" spans="1:12">
      <c r="A417" t="s">
        <v>3431</v>
      </c>
      <c r="B417" t="s">
        <v>3432</v>
      </c>
      <c r="C417">
        <v>36</v>
      </c>
      <c r="D417" t="s">
        <v>3433</v>
      </c>
      <c r="E417" t="s">
        <v>3345</v>
      </c>
      <c r="F417" t="s">
        <v>3398</v>
      </c>
      <c r="G417">
        <v>1961</v>
      </c>
      <c r="H417">
        <v>1988</v>
      </c>
      <c r="I417">
        <v>38.76</v>
      </c>
      <c r="J417">
        <v>36.36</v>
      </c>
      <c r="K417">
        <v>1.2</v>
      </c>
      <c r="L417" t="s">
        <v>3437</v>
      </c>
    </row>
    <row r="418" spans="1:12">
      <c r="A418" t="s">
        <v>3431</v>
      </c>
      <c r="B418" t="s">
        <v>3432</v>
      </c>
      <c r="C418">
        <v>38</v>
      </c>
      <c r="D418" t="s">
        <v>3433</v>
      </c>
      <c r="E418" t="s">
        <v>3345</v>
      </c>
      <c r="F418" t="s">
        <v>3398</v>
      </c>
      <c r="G418">
        <v>1961</v>
      </c>
      <c r="H418">
        <v>1988</v>
      </c>
      <c r="I418">
        <v>40.840000000000003</v>
      </c>
      <c r="J418">
        <v>38.380000000000003</v>
      </c>
      <c r="K418">
        <v>1.23</v>
      </c>
      <c r="L418" t="s">
        <v>3437</v>
      </c>
    </row>
    <row r="419" spans="1:12">
      <c r="A419" t="s">
        <v>3431</v>
      </c>
      <c r="B419" t="s">
        <v>3432</v>
      </c>
      <c r="C419">
        <v>39</v>
      </c>
      <c r="D419" t="s">
        <v>3433</v>
      </c>
      <c r="E419" t="s">
        <v>3345</v>
      </c>
      <c r="F419" t="s">
        <v>3398</v>
      </c>
      <c r="G419">
        <v>1961</v>
      </c>
      <c r="H419">
        <v>1988</v>
      </c>
      <c r="I419">
        <v>41.88</v>
      </c>
      <c r="J419">
        <v>39.380000000000003</v>
      </c>
      <c r="K419">
        <v>1.25</v>
      </c>
      <c r="L419" t="s">
        <v>3437</v>
      </c>
    </row>
    <row r="420" spans="1:12">
      <c r="A420" t="s">
        <v>3431</v>
      </c>
      <c r="B420" t="s">
        <v>3432</v>
      </c>
      <c r="C420">
        <v>40</v>
      </c>
      <c r="D420" t="s">
        <v>3433</v>
      </c>
      <c r="E420" t="s">
        <v>3345</v>
      </c>
      <c r="F420" t="s">
        <v>3398</v>
      </c>
      <c r="G420">
        <v>1961</v>
      </c>
      <c r="H420">
        <v>1988</v>
      </c>
      <c r="I420">
        <v>42.92</v>
      </c>
      <c r="J420">
        <v>40.4</v>
      </c>
      <c r="K420">
        <v>1.26</v>
      </c>
      <c r="L420" t="s">
        <v>3437</v>
      </c>
    </row>
    <row r="421" spans="1:12">
      <c r="A421" t="s">
        <v>3431</v>
      </c>
      <c r="B421" t="s">
        <v>3432</v>
      </c>
      <c r="C421">
        <v>42</v>
      </c>
      <c r="D421" t="s">
        <v>3433</v>
      </c>
      <c r="E421" t="s">
        <v>3345</v>
      </c>
      <c r="F421" t="s">
        <v>3398</v>
      </c>
      <c r="G421">
        <v>1961</v>
      </c>
      <c r="H421">
        <v>1988</v>
      </c>
      <c r="I421">
        <v>45</v>
      </c>
      <c r="J421">
        <v>42.4</v>
      </c>
      <c r="K421">
        <v>1.3</v>
      </c>
      <c r="L421" t="s">
        <v>3437</v>
      </c>
    </row>
    <row r="422" spans="1:12">
      <c r="A422" t="s">
        <v>3431</v>
      </c>
      <c r="B422" t="s">
        <v>3432</v>
      </c>
      <c r="C422">
        <v>44</v>
      </c>
      <c r="D422" t="s">
        <v>3433</v>
      </c>
      <c r="E422" t="s">
        <v>3345</v>
      </c>
      <c r="F422" t="s">
        <v>3398</v>
      </c>
      <c r="G422">
        <v>1961</v>
      </c>
      <c r="H422">
        <v>1988</v>
      </c>
      <c r="I422">
        <v>47.06</v>
      </c>
      <c r="J422">
        <v>44.4</v>
      </c>
      <c r="K422">
        <v>1.33</v>
      </c>
      <c r="L422" t="s">
        <v>3437</v>
      </c>
    </row>
    <row r="423" spans="1:12">
      <c r="A423" t="s">
        <v>3431</v>
      </c>
      <c r="B423" t="s">
        <v>3432</v>
      </c>
      <c r="C423">
        <v>45</v>
      </c>
      <c r="D423" t="s">
        <v>3433</v>
      </c>
      <c r="E423" t="s">
        <v>3345</v>
      </c>
      <c r="F423" t="s">
        <v>3398</v>
      </c>
      <c r="G423">
        <v>1961</v>
      </c>
      <c r="H423">
        <v>1988</v>
      </c>
      <c r="I423">
        <v>48.1</v>
      </c>
      <c r="J423">
        <v>45.4</v>
      </c>
      <c r="K423">
        <v>1.35</v>
      </c>
      <c r="L423" t="s">
        <v>3437</v>
      </c>
    </row>
    <row r="424" spans="1:12">
      <c r="A424" t="s">
        <v>3431</v>
      </c>
      <c r="B424" t="s">
        <v>3432</v>
      </c>
      <c r="C424">
        <v>46</v>
      </c>
      <c r="D424" t="s">
        <v>3433</v>
      </c>
      <c r="E424" t="s">
        <v>3345</v>
      </c>
      <c r="F424" t="s">
        <v>3398</v>
      </c>
      <c r="G424">
        <v>1961</v>
      </c>
      <c r="H424">
        <v>1988</v>
      </c>
      <c r="I424">
        <v>49.14</v>
      </c>
      <c r="J424">
        <v>46.42</v>
      </c>
      <c r="K424">
        <v>1.36</v>
      </c>
      <c r="L424" t="s">
        <v>3437</v>
      </c>
    </row>
    <row r="425" spans="1:12">
      <c r="A425" t="s">
        <v>3431</v>
      </c>
      <c r="B425" t="s">
        <v>3432</v>
      </c>
      <c r="C425">
        <v>48</v>
      </c>
      <c r="D425" t="s">
        <v>3433</v>
      </c>
      <c r="E425" t="s">
        <v>3345</v>
      </c>
      <c r="F425" t="s">
        <v>3398</v>
      </c>
      <c r="G425">
        <v>1961</v>
      </c>
      <c r="H425">
        <v>1988</v>
      </c>
      <c r="I425">
        <v>51.2</v>
      </c>
      <c r="J425">
        <v>48.44</v>
      </c>
      <c r="K425">
        <v>1.38</v>
      </c>
      <c r="L425" t="s">
        <v>3437</v>
      </c>
    </row>
    <row r="426" spans="1:12">
      <c r="A426" t="s">
        <v>3431</v>
      </c>
      <c r="B426" t="s">
        <v>3432</v>
      </c>
      <c r="C426">
        <v>3</v>
      </c>
      <c r="D426" t="s">
        <v>3433</v>
      </c>
      <c r="E426" t="s">
        <v>3347</v>
      </c>
      <c r="F426" t="s">
        <v>3399</v>
      </c>
      <c r="G426">
        <v>1961</v>
      </c>
      <c r="H426">
        <v>1988</v>
      </c>
      <c r="I426">
        <v>3.76</v>
      </c>
      <c r="J426">
        <v>2.96</v>
      </c>
      <c r="K426">
        <v>0.4</v>
      </c>
      <c r="L426" t="s">
        <v>3437</v>
      </c>
    </row>
    <row r="427" spans="1:12">
      <c r="A427" t="s">
        <v>3431</v>
      </c>
      <c r="B427" t="s">
        <v>3432</v>
      </c>
      <c r="C427">
        <v>4</v>
      </c>
      <c r="D427" t="s">
        <v>3433</v>
      </c>
      <c r="E427" t="s">
        <v>3347</v>
      </c>
      <c r="F427" t="s">
        <v>3399</v>
      </c>
      <c r="G427">
        <v>1961</v>
      </c>
      <c r="H427">
        <v>1988</v>
      </c>
      <c r="I427">
        <v>4.8</v>
      </c>
      <c r="J427">
        <v>3.88</v>
      </c>
      <c r="K427">
        <v>0.46</v>
      </c>
      <c r="L427" t="s">
        <v>3437</v>
      </c>
    </row>
    <row r="428" spans="1:12">
      <c r="A428" t="s">
        <v>3431</v>
      </c>
      <c r="B428" t="s">
        <v>3432</v>
      </c>
      <c r="C428">
        <v>5</v>
      </c>
      <c r="D428" t="s">
        <v>3433</v>
      </c>
      <c r="E428" t="s">
        <v>3347</v>
      </c>
      <c r="F428" t="s">
        <v>3399</v>
      </c>
      <c r="G428">
        <v>1961</v>
      </c>
      <c r="H428">
        <v>1988</v>
      </c>
      <c r="I428">
        <v>5.9</v>
      </c>
      <c r="J428">
        <v>4.8600000000000003</v>
      </c>
      <c r="K428">
        <v>0.52</v>
      </c>
      <c r="L428" t="s">
        <v>3437</v>
      </c>
    </row>
    <row r="429" spans="1:12">
      <c r="A429" t="s">
        <v>3431</v>
      </c>
      <c r="B429" t="s">
        <v>3432</v>
      </c>
      <c r="C429">
        <v>6</v>
      </c>
      <c r="D429" t="s">
        <v>3433</v>
      </c>
      <c r="E429" t="s">
        <v>3347</v>
      </c>
      <c r="F429" t="s">
        <v>3399</v>
      </c>
      <c r="G429">
        <v>1961</v>
      </c>
      <c r="H429">
        <v>1988</v>
      </c>
      <c r="I429">
        <v>6.98</v>
      </c>
      <c r="J429">
        <v>5.84</v>
      </c>
      <c r="K429">
        <v>0.56999999999999995</v>
      </c>
      <c r="L429" t="s">
        <v>3437</v>
      </c>
    </row>
    <row r="430" spans="1:12">
      <c r="A430" t="s">
        <v>3431</v>
      </c>
      <c r="B430" t="s">
        <v>3432</v>
      </c>
      <c r="C430">
        <v>7</v>
      </c>
      <c r="D430" t="s">
        <v>3433</v>
      </c>
      <c r="E430" t="s">
        <v>3347</v>
      </c>
      <c r="F430" t="s">
        <v>3399</v>
      </c>
      <c r="G430">
        <v>1961</v>
      </c>
      <c r="H430">
        <v>1988</v>
      </c>
      <c r="I430">
        <v>8.06</v>
      </c>
      <c r="J430">
        <v>6.84</v>
      </c>
      <c r="K430">
        <v>0.61</v>
      </c>
      <c r="L430" t="s">
        <v>3437</v>
      </c>
    </row>
    <row r="431" spans="1:12">
      <c r="A431" t="s">
        <v>3431</v>
      </c>
      <c r="B431" t="s">
        <v>3432</v>
      </c>
      <c r="C431">
        <v>8</v>
      </c>
      <c r="D431" t="s">
        <v>3433</v>
      </c>
      <c r="E431" t="s">
        <v>3347</v>
      </c>
      <c r="F431" t="s">
        <v>3399</v>
      </c>
      <c r="G431">
        <v>1961</v>
      </c>
      <c r="H431">
        <v>1988</v>
      </c>
      <c r="I431">
        <v>9.14</v>
      </c>
      <c r="J431">
        <v>7.84</v>
      </c>
      <c r="K431">
        <v>0.65</v>
      </c>
      <c r="L431" t="s">
        <v>3437</v>
      </c>
    </row>
    <row r="432" spans="1:12">
      <c r="A432" t="s">
        <v>3431</v>
      </c>
      <c r="B432" t="s">
        <v>3432</v>
      </c>
      <c r="C432">
        <v>9</v>
      </c>
      <c r="D432" t="s">
        <v>3433</v>
      </c>
      <c r="E432" t="s">
        <v>3347</v>
      </c>
      <c r="F432" t="s">
        <v>3399</v>
      </c>
      <c r="G432">
        <v>1961</v>
      </c>
      <c r="H432">
        <v>1988</v>
      </c>
      <c r="I432">
        <v>10.199999999999999</v>
      </c>
      <c r="J432">
        <v>8.82</v>
      </c>
      <c r="K432">
        <v>0.69</v>
      </c>
      <c r="L432" t="s">
        <v>3437</v>
      </c>
    </row>
    <row r="433" spans="1:12">
      <c r="A433" t="s">
        <v>3431</v>
      </c>
      <c r="B433" t="s">
        <v>3432</v>
      </c>
      <c r="C433">
        <v>10</v>
      </c>
      <c r="D433" t="s">
        <v>3433</v>
      </c>
      <c r="E433" t="s">
        <v>3347</v>
      </c>
      <c r="F433" t="s">
        <v>3399</v>
      </c>
      <c r="G433">
        <v>1961</v>
      </c>
      <c r="H433">
        <v>1988</v>
      </c>
      <c r="I433">
        <v>11.26</v>
      </c>
      <c r="J433">
        <v>9.8000000000000007</v>
      </c>
      <c r="K433">
        <v>0.73</v>
      </c>
      <c r="L433" t="s">
        <v>3437</v>
      </c>
    </row>
    <row r="434" spans="1:12">
      <c r="A434" t="s">
        <v>3431</v>
      </c>
      <c r="B434" t="s">
        <v>3432</v>
      </c>
      <c r="C434">
        <v>12</v>
      </c>
      <c r="D434" t="s">
        <v>3433</v>
      </c>
      <c r="E434" t="s">
        <v>3347</v>
      </c>
      <c r="F434" t="s">
        <v>3399</v>
      </c>
      <c r="G434">
        <v>1961</v>
      </c>
      <c r="H434">
        <v>1988</v>
      </c>
      <c r="I434">
        <v>13.6</v>
      </c>
      <c r="J434">
        <v>12</v>
      </c>
      <c r="K434">
        <v>0.8</v>
      </c>
      <c r="L434" t="s">
        <v>3437</v>
      </c>
    </row>
    <row r="435" spans="1:12">
      <c r="A435" t="s">
        <v>3431</v>
      </c>
      <c r="B435" t="s">
        <v>3432</v>
      </c>
      <c r="C435">
        <v>14</v>
      </c>
      <c r="D435" t="s">
        <v>3433</v>
      </c>
      <c r="E435" t="s">
        <v>3347</v>
      </c>
      <c r="F435" t="s">
        <v>3399</v>
      </c>
      <c r="G435">
        <v>1961</v>
      </c>
      <c r="H435">
        <v>1988</v>
      </c>
      <c r="I435">
        <v>15.72</v>
      </c>
      <c r="J435">
        <v>14</v>
      </c>
      <c r="K435">
        <v>0.86</v>
      </c>
      <c r="L435" t="s">
        <v>3437</v>
      </c>
    </row>
    <row r="436" spans="1:12">
      <c r="A436" t="s">
        <v>3431</v>
      </c>
      <c r="B436" t="s">
        <v>3432</v>
      </c>
      <c r="C436">
        <v>15</v>
      </c>
      <c r="D436" t="s">
        <v>3433</v>
      </c>
      <c r="E436" t="s">
        <v>3347</v>
      </c>
      <c r="F436" t="s">
        <v>3399</v>
      </c>
      <c r="G436">
        <v>1961</v>
      </c>
      <c r="H436">
        <v>1988</v>
      </c>
      <c r="I436">
        <v>16.78</v>
      </c>
      <c r="J436">
        <v>15</v>
      </c>
      <c r="K436">
        <v>0.89</v>
      </c>
      <c r="L436" t="s">
        <v>3437</v>
      </c>
    </row>
    <row r="437" spans="1:12">
      <c r="A437" t="s">
        <v>3431</v>
      </c>
      <c r="B437" t="s">
        <v>3432</v>
      </c>
      <c r="C437">
        <v>16</v>
      </c>
      <c r="D437" t="s">
        <v>3433</v>
      </c>
      <c r="E437" t="s">
        <v>3347</v>
      </c>
      <c r="F437" t="s">
        <v>3399</v>
      </c>
      <c r="G437">
        <v>1961</v>
      </c>
      <c r="H437">
        <v>1988</v>
      </c>
      <c r="I437">
        <v>17.84</v>
      </c>
      <c r="J437">
        <v>16</v>
      </c>
      <c r="K437">
        <v>0.92</v>
      </c>
      <c r="L437" t="s">
        <v>3437</v>
      </c>
    </row>
    <row r="438" spans="1:12">
      <c r="A438" t="s">
        <v>3431</v>
      </c>
      <c r="B438" t="s">
        <v>3432</v>
      </c>
      <c r="C438">
        <v>18</v>
      </c>
      <c r="D438" t="s">
        <v>3433</v>
      </c>
      <c r="E438" t="s">
        <v>3347</v>
      </c>
      <c r="F438" t="s">
        <v>3399</v>
      </c>
      <c r="G438">
        <v>1961</v>
      </c>
      <c r="H438">
        <v>1988</v>
      </c>
      <c r="I438">
        <v>19.96</v>
      </c>
      <c r="J438">
        <v>18</v>
      </c>
      <c r="K438">
        <v>0.98</v>
      </c>
      <c r="L438" t="s">
        <v>3437</v>
      </c>
    </row>
    <row r="439" spans="1:12">
      <c r="A439" t="s">
        <v>3431</v>
      </c>
      <c r="B439" t="s">
        <v>3432</v>
      </c>
      <c r="C439">
        <v>20</v>
      </c>
      <c r="D439" t="s">
        <v>3433</v>
      </c>
      <c r="E439" t="s">
        <v>3347</v>
      </c>
      <c r="F439" t="s">
        <v>3399</v>
      </c>
      <c r="G439">
        <v>1961</v>
      </c>
      <c r="H439">
        <v>1988</v>
      </c>
      <c r="I439">
        <v>22.06</v>
      </c>
      <c r="J439">
        <v>20</v>
      </c>
      <c r="K439">
        <v>1.03</v>
      </c>
      <c r="L439" t="s">
        <v>3437</v>
      </c>
    </row>
    <row r="440" spans="1:12">
      <c r="A440" t="s">
        <v>3431</v>
      </c>
      <c r="B440" t="s">
        <v>3432</v>
      </c>
      <c r="C440">
        <v>21</v>
      </c>
      <c r="D440" t="s">
        <v>3433</v>
      </c>
      <c r="E440" t="s">
        <v>3347</v>
      </c>
      <c r="F440" t="s">
        <v>3399</v>
      </c>
      <c r="G440">
        <v>1961</v>
      </c>
      <c r="H440">
        <v>1988</v>
      </c>
      <c r="I440">
        <v>23.12</v>
      </c>
      <c r="J440">
        <v>21</v>
      </c>
      <c r="K440">
        <v>1.06</v>
      </c>
      <c r="L440" t="s">
        <v>3437</v>
      </c>
    </row>
    <row r="441" spans="1:12">
      <c r="A441" t="s">
        <v>3431</v>
      </c>
      <c r="B441" t="s">
        <v>3432</v>
      </c>
      <c r="C441">
        <v>22</v>
      </c>
      <c r="D441" t="s">
        <v>3433</v>
      </c>
      <c r="E441" t="s">
        <v>3347</v>
      </c>
      <c r="F441" t="s">
        <v>3399</v>
      </c>
      <c r="G441">
        <v>1961</v>
      </c>
      <c r="H441">
        <v>1988</v>
      </c>
      <c r="I441">
        <v>24.16</v>
      </c>
      <c r="J441">
        <v>22</v>
      </c>
      <c r="K441">
        <v>1.08</v>
      </c>
      <c r="L441" t="s">
        <v>3437</v>
      </c>
    </row>
    <row r="442" spans="1:12">
      <c r="A442" t="s">
        <v>3431</v>
      </c>
      <c r="B442" t="s">
        <v>3432</v>
      </c>
      <c r="C442">
        <v>24</v>
      </c>
      <c r="D442" t="s">
        <v>3433</v>
      </c>
      <c r="E442" t="s">
        <v>3347</v>
      </c>
      <c r="F442" t="s">
        <v>3399</v>
      </c>
      <c r="G442">
        <v>1961</v>
      </c>
      <c r="H442">
        <v>1988</v>
      </c>
      <c r="I442">
        <v>26.26</v>
      </c>
      <c r="J442">
        <v>24</v>
      </c>
      <c r="K442">
        <v>1.1299999999999999</v>
      </c>
      <c r="L442" t="s">
        <v>3437</v>
      </c>
    </row>
    <row r="443" spans="1:12">
      <c r="A443" t="s">
        <v>3431</v>
      </c>
      <c r="B443" t="s">
        <v>3432</v>
      </c>
      <c r="C443">
        <v>26</v>
      </c>
      <c r="D443" t="s">
        <v>3433</v>
      </c>
      <c r="E443" t="s">
        <v>3347</v>
      </c>
      <c r="F443" t="s">
        <v>3399</v>
      </c>
      <c r="G443">
        <v>1961</v>
      </c>
      <c r="H443">
        <v>1988</v>
      </c>
      <c r="I443">
        <v>28.36</v>
      </c>
      <c r="J443">
        <v>26</v>
      </c>
      <c r="K443">
        <v>1.18</v>
      </c>
      <c r="L443" t="s">
        <v>3437</v>
      </c>
    </row>
    <row r="444" spans="1:12">
      <c r="A444" t="s">
        <v>3431</v>
      </c>
      <c r="B444" t="s">
        <v>3432</v>
      </c>
      <c r="C444">
        <v>27</v>
      </c>
      <c r="D444" t="s">
        <v>3433</v>
      </c>
      <c r="E444" t="s">
        <v>3347</v>
      </c>
      <c r="F444" t="s">
        <v>3399</v>
      </c>
      <c r="G444">
        <v>1961</v>
      </c>
      <c r="H444">
        <v>1988</v>
      </c>
      <c r="I444">
        <v>29.4</v>
      </c>
      <c r="J444">
        <v>27</v>
      </c>
      <c r="K444">
        <v>1.2</v>
      </c>
      <c r="L444" t="s">
        <v>3437</v>
      </c>
    </row>
    <row r="445" spans="1:12">
      <c r="A445" t="s">
        <v>3431</v>
      </c>
      <c r="B445" t="s">
        <v>3432</v>
      </c>
      <c r="C445">
        <v>28</v>
      </c>
      <c r="D445" t="s">
        <v>3433</v>
      </c>
      <c r="E445" t="s">
        <v>3347</v>
      </c>
      <c r="F445" t="s">
        <v>3399</v>
      </c>
      <c r="G445">
        <v>1961</v>
      </c>
      <c r="H445">
        <v>1988</v>
      </c>
      <c r="I445">
        <v>30.44</v>
      </c>
      <c r="J445">
        <v>28</v>
      </c>
      <c r="K445">
        <v>1.22</v>
      </c>
      <c r="L445" t="s">
        <v>3437</v>
      </c>
    </row>
    <row r="446" spans="1:12">
      <c r="A446" t="s">
        <v>3431</v>
      </c>
      <c r="B446" t="s">
        <v>3432</v>
      </c>
      <c r="C446">
        <v>30</v>
      </c>
      <c r="D446" t="s">
        <v>3433</v>
      </c>
      <c r="E446" t="s">
        <v>3347</v>
      </c>
      <c r="F446" t="s">
        <v>3399</v>
      </c>
      <c r="G446">
        <v>1961</v>
      </c>
      <c r="H446">
        <v>1988</v>
      </c>
      <c r="I446">
        <v>32.520000000000003</v>
      </c>
      <c r="J446">
        <v>30</v>
      </c>
      <c r="K446">
        <v>1.26</v>
      </c>
      <c r="L446" t="s">
        <v>3437</v>
      </c>
    </row>
    <row r="447" spans="1:12">
      <c r="A447" t="s">
        <v>3431</v>
      </c>
      <c r="B447" t="s">
        <v>3432</v>
      </c>
      <c r="C447">
        <v>32</v>
      </c>
      <c r="D447" t="s">
        <v>3433</v>
      </c>
      <c r="E447" t="s">
        <v>3347</v>
      </c>
      <c r="F447" t="s">
        <v>3399</v>
      </c>
      <c r="G447">
        <v>1961</v>
      </c>
      <c r="H447">
        <v>1988</v>
      </c>
      <c r="I447">
        <v>34.619999999999997</v>
      </c>
      <c r="J447">
        <v>32</v>
      </c>
      <c r="K447">
        <v>1.31</v>
      </c>
      <c r="L447" t="s">
        <v>3437</v>
      </c>
    </row>
    <row r="448" spans="1:12">
      <c r="A448" t="s">
        <v>3431</v>
      </c>
      <c r="B448" t="s">
        <v>3432</v>
      </c>
      <c r="C448">
        <v>33</v>
      </c>
      <c r="D448" t="s">
        <v>3433</v>
      </c>
      <c r="E448" t="s">
        <v>3347</v>
      </c>
      <c r="F448" t="s">
        <v>3399</v>
      </c>
      <c r="G448">
        <v>1961</v>
      </c>
      <c r="H448">
        <v>1988</v>
      </c>
      <c r="I448">
        <v>35.659999999999997</v>
      </c>
      <c r="J448">
        <v>33</v>
      </c>
      <c r="K448">
        <v>1.33</v>
      </c>
      <c r="L448" t="s">
        <v>3437</v>
      </c>
    </row>
    <row r="449" spans="1:12">
      <c r="A449" t="s">
        <v>3431</v>
      </c>
      <c r="B449" t="s">
        <v>3432</v>
      </c>
      <c r="C449">
        <v>36</v>
      </c>
      <c r="D449" t="s">
        <v>3433</v>
      </c>
      <c r="E449" t="s">
        <v>3347</v>
      </c>
      <c r="F449" t="s">
        <v>3399</v>
      </c>
      <c r="G449">
        <v>1961</v>
      </c>
      <c r="H449">
        <v>1988</v>
      </c>
      <c r="I449">
        <v>38.76</v>
      </c>
      <c r="J449">
        <v>36</v>
      </c>
      <c r="K449">
        <v>1.38</v>
      </c>
      <c r="L449" t="s">
        <v>3437</v>
      </c>
    </row>
    <row r="450" spans="1:12">
      <c r="A450" t="s">
        <v>3431</v>
      </c>
      <c r="B450" t="s">
        <v>3432</v>
      </c>
      <c r="C450">
        <v>38</v>
      </c>
      <c r="D450" t="s">
        <v>3433</v>
      </c>
      <c r="E450" t="s">
        <v>3347</v>
      </c>
      <c r="F450" t="s">
        <v>3399</v>
      </c>
      <c r="G450">
        <v>1961</v>
      </c>
      <c r="H450">
        <v>1988</v>
      </c>
      <c r="I450">
        <v>40.840000000000003</v>
      </c>
      <c r="J450">
        <v>38</v>
      </c>
      <c r="K450">
        <v>1.42</v>
      </c>
      <c r="L450" t="s">
        <v>3437</v>
      </c>
    </row>
    <row r="451" spans="1:12">
      <c r="A451" t="s">
        <v>3431</v>
      </c>
      <c r="B451" t="s">
        <v>3432</v>
      </c>
      <c r="C451">
        <v>39</v>
      </c>
      <c r="D451" t="s">
        <v>3433</v>
      </c>
      <c r="E451" t="s">
        <v>3347</v>
      </c>
      <c r="F451" t="s">
        <v>3399</v>
      </c>
      <c r="G451">
        <v>1961</v>
      </c>
      <c r="H451">
        <v>1988</v>
      </c>
      <c r="I451">
        <v>41.88</v>
      </c>
      <c r="J451">
        <v>39</v>
      </c>
      <c r="K451">
        <v>1.44</v>
      </c>
      <c r="L451" t="s">
        <v>3437</v>
      </c>
    </row>
    <row r="452" spans="1:12">
      <c r="A452" t="s">
        <v>3431</v>
      </c>
      <c r="B452" t="s">
        <v>3432</v>
      </c>
      <c r="C452">
        <v>40</v>
      </c>
      <c r="D452" t="s">
        <v>3433</v>
      </c>
      <c r="E452" t="s">
        <v>3347</v>
      </c>
      <c r="F452" t="s">
        <v>3399</v>
      </c>
      <c r="G452">
        <v>1961</v>
      </c>
      <c r="H452">
        <v>1988</v>
      </c>
      <c r="I452">
        <v>42.92</v>
      </c>
      <c r="J452">
        <v>40</v>
      </c>
      <c r="K452">
        <v>1.46</v>
      </c>
      <c r="L452" t="s">
        <v>3437</v>
      </c>
    </row>
    <row r="453" spans="1:12">
      <c r="A453" t="s">
        <v>3431</v>
      </c>
      <c r="B453" t="s">
        <v>3432</v>
      </c>
      <c r="C453">
        <v>42</v>
      </c>
      <c r="D453" t="s">
        <v>3433</v>
      </c>
      <c r="E453" t="s">
        <v>3347</v>
      </c>
      <c r="F453" t="s">
        <v>3399</v>
      </c>
      <c r="G453">
        <v>1961</v>
      </c>
      <c r="H453">
        <v>1988</v>
      </c>
      <c r="I453">
        <v>45</v>
      </c>
      <c r="J453">
        <v>42</v>
      </c>
      <c r="K453">
        <v>1.5</v>
      </c>
      <c r="L453" t="s">
        <v>3437</v>
      </c>
    </row>
    <row r="454" spans="1:12">
      <c r="A454" t="s">
        <v>3431</v>
      </c>
      <c r="B454" t="s">
        <v>3432</v>
      </c>
      <c r="C454">
        <v>44</v>
      </c>
      <c r="D454" t="s">
        <v>3433</v>
      </c>
      <c r="E454" t="s">
        <v>3347</v>
      </c>
      <c r="F454" t="s">
        <v>3399</v>
      </c>
      <c r="G454">
        <v>1961</v>
      </c>
      <c r="H454">
        <v>1988</v>
      </c>
      <c r="I454">
        <v>4.0599999999999996</v>
      </c>
      <c r="J454">
        <v>1</v>
      </c>
      <c r="K454">
        <v>1.53</v>
      </c>
      <c r="L454" t="s">
        <v>3437</v>
      </c>
    </row>
    <row r="455" spans="1:12">
      <c r="A455" t="s">
        <v>3431</v>
      </c>
      <c r="B455" t="s">
        <v>3432</v>
      </c>
      <c r="C455">
        <v>45</v>
      </c>
      <c r="D455" t="s">
        <v>3433</v>
      </c>
      <c r="E455" t="s">
        <v>3347</v>
      </c>
      <c r="F455" t="s">
        <v>3399</v>
      </c>
      <c r="G455">
        <v>1961</v>
      </c>
      <c r="H455">
        <v>1988</v>
      </c>
      <c r="I455">
        <v>48.1</v>
      </c>
      <c r="J455">
        <v>45</v>
      </c>
      <c r="K455">
        <v>1.55</v>
      </c>
      <c r="L455" t="s">
        <v>3437</v>
      </c>
    </row>
    <row r="456" spans="1:12">
      <c r="A456" t="s">
        <v>3431</v>
      </c>
      <c r="B456" t="s">
        <v>3432</v>
      </c>
      <c r="C456">
        <v>46</v>
      </c>
      <c r="D456" t="s">
        <v>3433</v>
      </c>
      <c r="E456" t="s">
        <v>3347</v>
      </c>
      <c r="F456" t="s">
        <v>3399</v>
      </c>
      <c r="G456">
        <v>1961</v>
      </c>
      <c r="H456">
        <v>1988</v>
      </c>
      <c r="I456">
        <v>49.14</v>
      </c>
      <c r="J456">
        <v>46</v>
      </c>
      <c r="K456">
        <v>1.57</v>
      </c>
      <c r="L456" t="s">
        <v>3437</v>
      </c>
    </row>
    <row r="457" spans="1:12">
      <c r="A457" t="s">
        <v>3431</v>
      </c>
      <c r="B457" t="s">
        <v>3432</v>
      </c>
      <c r="C457">
        <v>48</v>
      </c>
      <c r="D457" t="s">
        <v>3433</v>
      </c>
      <c r="E457" t="s">
        <v>3347</v>
      </c>
      <c r="F457" t="s">
        <v>3399</v>
      </c>
      <c r="G457">
        <v>1961</v>
      </c>
      <c r="H457">
        <v>1988</v>
      </c>
      <c r="I457">
        <v>51.2</v>
      </c>
      <c r="J457">
        <v>48</v>
      </c>
      <c r="K457">
        <v>1.6</v>
      </c>
      <c r="L457" t="s">
        <v>3437</v>
      </c>
    </row>
    <row r="458" spans="1:12">
      <c r="A458" t="s">
        <v>3431</v>
      </c>
      <c r="B458" t="s">
        <v>3432</v>
      </c>
      <c r="C458">
        <v>3</v>
      </c>
      <c r="D458" t="s">
        <v>3436</v>
      </c>
      <c r="E458" t="s">
        <v>3342</v>
      </c>
      <c r="F458" t="s">
        <v>3434</v>
      </c>
      <c r="G458">
        <v>1961</v>
      </c>
      <c r="H458">
        <v>1988</v>
      </c>
      <c r="I458">
        <v>95.503999999999991</v>
      </c>
      <c r="J458">
        <v>76.2</v>
      </c>
      <c r="K458">
        <v>9.6519999999999992</v>
      </c>
      <c r="L458" t="s">
        <v>3437</v>
      </c>
    </row>
    <row r="459" spans="1:12">
      <c r="A459" t="s">
        <v>3431</v>
      </c>
      <c r="B459" t="s">
        <v>3432</v>
      </c>
      <c r="C459">
        <v>4</v>
      </c>
      <c r="D459" t="s">
        <v>3436</v>
      </c>
      <c r="E459" t="s">
        <v>3342</v>
      </c>
      <c r="F459" t="s">
        <v>3434</v>
      </c>
      <c r="G459">
        <v>1961</v>
      </c>
      <c r="H459">
        <v>1988</v>
      </c>
      <c r="I459">
        <v>121.92</v>
      </c>
      <c r="J459">
        <v>102.108</v>
      </c>
      <c r="K459">
        <v>9.9060000000000006</v>
      </c>
      <c r="L459" t="s">
        <v>3437</v>
      </c>
    </row>
    <row r="460" spans="1:12">
      <c r="A460" t="s">
        <v>3431</v>
      </c>
      <c r="B460" t="s">
        <v>3432</v>
      </c>
      <c r="C460">
        <v>5</v>
      </c>
      <c r="D460" t="s">
        <v>3436</v>
      </c>
      <c r="E460" t="s">
        <v>3342</v>
      </c>
      <c r="F460" t="s">
        <v>3434</v>
      </c>
      <c r="G460">
        <v>1961</v>
      </c>
      <c r="H460">
        <v>1988</v>
      </c>
      <c r="I460">
        <v>149.86000000000001</v>
      </c>
      <c r="J460">
        <v>129.03200000000001</v>
      </c>
      <c r="K460">
        <v>10.414</v>
      </c>
      <c r="L460" t="s">
        <v>3437</v>
      </c>
    </row>
    <row r="461" spans="1:12">
      <c r="A461" t="s">
        <v>3431</v>
      </c>
      <c r="B461" t="s">
        <v>3432</v>
      </c>
      <c r="C461">
        <v>6</v>
      </c>
      <c r="D461" t="s">
        <v>3436</v>
      </c>
      <c r="E461" t="s">
        <v>3342</v>
      </c>
      <c r="F461" t="s">
        <v>3434</v>
      </c>
      <c r="G461">
        <v>1961</v>
      </c>
      <c r="H461">
        <v>1988</v>
      </c>
      <c r="I461">
        <v>177.292</v>
      </c>
      <c r="J461">
        <v>155.44800000000001</v>
      </c>
      <c r="K461">
        <v>10.922000000000001</v>
      </c>
      <c r="L461" t="s">
        <v>3437</v>
      </c>
    </row>
    <row r="462" spans="1:12">
      <c r="A462" t="s">
        <v>3431</v>
      </c>
      <c r="B462" t="s">
        <v>3432</v>
      </c>
      <c r="C462">
        <v>7</v>
      </c>
      <c r="D462" t="s">
        <v>3436</v>
      </c>
      <c r="E462" t="s">
        <v>3342</v>
      </c>
      <c r="F462" t="s">
        <v>3434</v>
      </c>
      <c r="G462">
        <v>1961</v>
      </c>
      <c r="H462">
        <v>1988</v>
      </c>
      <c r="I462">
        <v>204.72399999999999</v>
      </c>
      <c r="J462">
        <v>181.864</v>
      </c>
      <c r="K462">
        <v>11.43</v>
      </c>
      <c r="L462" t="s">
        <v>3437</v>
      </c>
    </row>
    <row r="463" spans="1:12">
      <c r="A463" t="s">
        <v>3431</v>
      </c>
      <c r="B463" t="s">
        <v>3432</v>
      </c>
      <c r="C463">
        <v>8</v>
      </c>
      <c r="D463" t="s">
        <v>3436</v>
      </c>
      <c r="E463" t="s">
        <v>3342</v>
      </c>
      <c r="F463" t="s">
        <v>3434</v>
      </c>
      <c r="G463">
        <v>1961</v>
      </c>
      <c r="H463">
        <v>1988</v>
      </c>
      <c r="I463">
        <v>232.15600000000001</v>
      </c>
      <c r="J463">
        <v>208.28</v>
      </c>
      <c r="K463">
        <v>11.938000000000001</v>
      </c>
      <c r="L463" t="s">
        <v>3437</v>
      </c>
    </row>
    <row r="464" spans="1:12">
      <c r="A464" t="s">
        <v>3431</v>
      </c>
      <c r="B464" t="s">
        <v>3432</v>
      </c>
      <c r="C464">
        <v>9</v>
      </c>
      <c r="D464" t="s">
        <v>3436</v>
      </c>
      <c r="E464" t="s">
        <v>3342</v>
      </c>
      <c r="F464" t="s">
        <v>3434</v>
      </c>
      <c r="G464">
        <v>1961</v>
      </c>
      <c r="H464">
        <v>1988</v>
      </c>
      <c r="I464">
        <v>259.08</v>
      </c>
      <c r="J464">
        <v>234.18799999999999</v>
      </c>
      <c r="K464">
        <v>12.446</v>
      </c>
      <c r="L464" t="s">
        <v>3437</v>
      </c>
    </row>
    <row r="465" spans="1:12">
      <c r="A465" t="s">
        <v>3431</v>
      </c>
      <c r="B465" t="s">
        <v>3432</v>
      </c>
      <c r="C465">
        <v>10</v>
      </c>
      <c r="D465" t="s">
        <v>3436</v>
      </c>
      <c r="E465" t="s">
        <v>3342</v>
      </c>
      <c r="F465" t="s">
        <v>3434</v>
      </c>
      <c r="G465">
        <v>1961</v>
      </c>
      <c r="H465">
        <v>1988</v>
      </c>
      <c r="I465">
        <v>286.00400000000002</v>
      </c>
      <c r="J465">
        <v>259.58800000000002</v>
      </c>
      <c r="K465">
        <v>13.208</v>
      </c>
      <c r="L465" t="s">
        <v>3437</v>
      </c>
    </row>
    <row r="466" spans="1:12">
      <c r="A466" t="s">
        <v>3431</v>
      </c>
      <c r="B466" t="s">
        <v>3432</v>
      </c>
      <c r="C466">
        <v>12</v>
      </c>
      <c r="D466" t="s">
        <v>3436</v>
      </c>
      <c r="E466" t="s">
        <v>3342</v>
      </c>
      <c r="F466" t="s">
        <v>3434</v>
      </c>
      <c r="G466">
        <v>1961</v>
      </c>
      <c r="H466">
        <v>1988</v>
      </c>
      <c r="I466">
        <v>333.75599999999997</v>
      </c>
      <c r="J466">
        <v>304.8</v>
      </c>
      <c r="K466">
        <v>14.478</v>
      </c>
      <c r="L466" t="s">
        <v>3437</v>
      </c>
    </row>
    <row r="467" spans="1:12">
      <c r="A467" t="s">
        <v>3431</v>
      </c>
      <c r="B467" t="s">
        <v>3432</v>
      </c>
      <c r="C467">
        <v>14</v>
      </c>
      <c r="D467" t="s">
        <v>3436</v>
      </c>
      <c r="E467" t="s">
        <v>3342</v>
      </c>
      <c r="F467" t="s">
        <v>3434</v>
      </c>
      <c r="G467">
        <v>1961</v>
      </c>
      <c r="H467">
        <v>1988</v>
      </c>
      <c r="I467">
        <v>386.58800000000002</v>
      </c>
      <c r="J467">
        <v>355.6</v>
      </c>
      <c r="K467">
        <v>15.494</v>
      </c>
      <c r="L467" t="s">
        <v>3437</v>
      </c>
    </row>
    <row r="468" spans="1:12">
      <c r="A468" t="s">
        <v>3431</v>
      </c>
      <c r="B468" t="s">
        <v>3432</v>
      </c>
      <c r="C468">
        <v>15</v>
      </c>
      <c r="D468" t="s">
        <v>3436</v>
      </c>
      <c r="E468" t="s">
        <v>3342</v>
      </c>
      <c r="F468" t="s">
        <v>3434</v>
      </c>
      <c r="G468">
        <v>1961</v>
      </c>
      <c r="H468">
        <v>1988</v>
      </c>
      <c r="I468">
        <v>413.00400000000002</v>
      </c>
      <c r="J468">
        <v>381</v>
      </c>
      <c r="K468">
        <v>16.001999999999999</v>
      </c>
      <c r="L468" t="s">
        <v>3437</v>
      </c>
    </row>
    <row r="469" spans="1:12">
      <c r="A469" t="s">
        <v>3431</v>
      </c>
      <c r="B469" t="s">
        <v>3432</v>
      </c>
      <c r="C469">
        <v>16</v>
      </c>
      <c r="D469" t="s">
        <v>3436</v>
      </c>
      <c r="E469" t="s">
        <v>3342</v>
      </c>
      <c r="F469" t="s">
        <v>3434</v>
      </c>
      <c r="G469">
        <v>1961</v>
      </c>
      <c r="H469">
        <v>1988</v>
      </c>
      <c r="I469">
        <v>439.42</v>
      </c>
      <c r="J469">
        <v>406.4</v>
      </c>
      <c r="K469">
        <v>16.510000000000002</v>
      </c>
      <c r="L469" t="s">
        <v>3437</v>
      </c>
    </row>
    <row r="470" spans="1:12">
      <c r="A470" t="s">
        <v>3431</v>
      </c>
      <c r="B470" t="s">
        <v>3432</v>
      </c>
      <c r="C470">
        <v>18</v>
      </c>
      <c r="D470" t="s">
        <v>3436</v>
      </c>
      <c r="E470" t="s">
        <v>3342</v>
      </c>
      <c r="F470" t="s">
        <v>3434</v>
      </c>
      <c r="G470">
        <v>1961</v>
      </c>
      <c r="H470">
        <v>1988</v>
      </c>
      <c r="I470">
        <v>492.25200000000001</v>
      </c>
      <c r="J470">
        <v>457.2</v>
      </c>
      <c r="K470">
        <v>17.526</v>
      </c>
      <c r="L470" t="s">
        <v>3437</v>
      </c>
    </row>
    <row r="471" spans="1:12">
      <c r="A471" t="s">
        <v>3431</v>
      </c>
      <c r="B471" t="s">
        <v>3432</v>
      </c>
      <c r="C471">
        <v>20</v>
      </c>
      <c r="D471" t="s">
        <v>3436</v>
      </c>
      <c r="E471" t="s">
        <v>3342</v>
      </c>
      <c r="F471" t="s">
        <v>3434</v>
      </c>
      <c r="G471">
        <v>1961</v>
      </c>
      <c r="H471">
        <v>1988</v>
      </c>
      <c r="I471">
        <v>545.08399999999995</v>
      </c>
      <c r="J471">
        <v>508</v>
      </c>
      <c r="K471">
        <v>18.542000000000002</v>
      </c>
      <c r="L471" t="s">
        <v>3437</v>
      </c>
    </row>
    <row r="472" spans="1:12">
      <c r="A472" t="s">
        <v>3431</v>
      </c>
      <c r="B472" t="s">
        <v>3432</v>
      </c>
      <c r="C472">
        <v>21</v>
      </c>
      <c r="D472" t="s">
        <v>3436</v>
      </c>
      <c r="E472" t="s">
        <v>3342</v>
      </c>
      <c r="F472" t="s">
        <v>3434</v>
      </c>
      <c r="G472">
        <v>1961</v>
      </c>
      <c r="H472">
        <v>1988</v>
      </c>
      <c r="I472">
        <v>571.5</v>
      </c>
      <c r="J472">
        <v>533.4</v>
      </c>
      <c r="K472">
        <v>19.05</v>
      </c>
      <c r="L472" t="s">
        <v>3437</v>
      </c>
    </row>
    <row r="473" spans="1:12">
      <c r="A473" t="s">
        <v>3431</v>
      </c>
      <c r="B473" t="s">
        <v>3432</v>
      </c>
      <c r="C473">
        <v>22</v>
      </c>
      <c r="D473" t="s">
        <v>3436</v>
      </c>
      <c r="E473" t="s">
        <v>3342</v>
      </c>
      <c r="F473" t="s">
        <v>3434</v>
      </c>
      <c r="G473">
        <v>1961</v>
      </c>
      <c r="H473">
        <v>1988</v>
      </c>
      <c r="I473">
        <v>597.91599999999994</v>
      </c>
      <c r="J473">
        <v>558.79999999999995</v>
      </c>
      <c r="K473">
        <v>19.558</v>
      </c>
      <c r="L473" t="s">
        <v>3437</v>
      </c>
    </row>
    <row r="474" spans="1:12">
      <c r="A474" t="s">
        <v>3431</v>
      </c>
      <c r="B474" t="s">
        <v>3432</v>
      </c>
      <c r="C474">
        <v>24</v>
      </c>
      <c r="D474" t="s">
        <v>3436</v>
      </c>
      <c r="E474" t="s">
        <v>3342</v>
      </c>
      <c r="F474" t="s">
        <v>3434</v>
      </c>
      <c r="G474">
        <v>1961</v>
      </c>
      <c r="H474">
        <v>1988</v>
      </c>
      <c r="I474">
        <v>650.24</v>
      </c>
      <c r="J474">
        <v>609.6</v>
      </c>
      <c r="K474">
        <v>20.32</v>
      </c>
      <c r="L474" t="s">
        <v>3437</v>
      </c>
    </row>
    <row r="475" spans="1:12">
      <c r="A475" t="s">
        <v>3431</v>
      </c>
      <c r="B475" t="s">
        <v>3432</v>
      </c>
      <c r="C475">
        <v>26</v>
      </c>
      <c r="D475" t="s">
        <v>3436</v>
      </c>
      <c r="E475" t="s">
        <v>3342</v>
      </c>
      <c r="F475" t="s">
        <v>3434</v>
      </c>
      <c r="G475">
        <v>1961</v>
      </c>
      <c r="H475">
        <v>1988</v>
      </c>
      <c r="I475">
        <v>702.56399999999996</v>
      </c>
      <c r="J475">
        <v>660.4</v>
      </c>
      <c r="K475">
        <v>21.082000000000001</v>
      </c>
      <c r="L475" t="s">
        <v>3437</v>
      </c>
    </row>
    <row r="476" spans="1:12">
      <c r="A476" t="s">
        <v>3431</v>
      </c>
      <c r="B476" t="s">
        <v>3432</v>
      </c>
      <c r="C476">
        <v>27</v>
      </c>
      <c r="D476" t="s">
        <v>3436</v>
      </c>
      <c r="E476" t="s">
        <v>3342</v>
      </c>
      <c r="F476" t="s">
        <v>3434</v>
      </c>
      <c r="G476">
        <v>1961</v>
      </c>
      <c r="H476">
        <v>1988</v>
      </c>
      <c r="I476">
        <v>728.98</v>
      </c>
      <c r="J476">
        <v>685.8</v>
      </c>
      <c r="K476">
        <v>21.59</v>
      </c>
      <c r="L476" t="s">
        <v>3437</v>
      </c>
    </row>
    <row r="477" spans="1:12">
      <c r="A477" t="s">
        <v>3431</v>
      </c>
      <c r="B477" t="s">
        <v>3432</v>
      </c>
      <c r="C477">
        <v>28</v>
      </c>
      <c r="D477" t="s">
        <v>3436</v>
      </c>
      <c r="E477" t="s">
        <v>3342</v>
      </c>
      <c r="F477" t="s">
        <v>3434</v>
      </c>
      <c r="G477">
        <v>1961</v>
      </c>
      <c r="H477">
        <v>1988</v>
      </c>
      <c r="I477">
        <v>754.88799999999992</v>
      </c>
      <c r="J477">
        <v>711.2</v>
      </c>
      <c r="K477">
        <v>21.844000000000001</v>
      </c>
      <c r="L477" t="s">
        <v>3437</v>
      </c>
    </row>
    <row r="478" spans="1:12">
      <c r="A478" t="s">
        <v>3431</v>
      </c>
      <c r="B478" t="s">
        <v>3432</v>
      </c>
      <c r="C478">
        <v>30</v>
      </c>
      <c r="D478" t="s">
        <v>3436</v>
      </c>
      <c r="E478" t="s">
        <v>3342</v>
      </c>
      <c r="F478" t="s">
        <v>3434</v>
      </c>
      <c r="G478">
        <v>1961</v>
      </c>
      <c r="H478">
        <v>1988</v>
      </c>
      <c r="I478">
        <v>807.21199999999999</v>
      </c>
      <c r="J478">
        <v>762</v>
      </c>
      <c r="K478">
        <v>22.606000000000002</v>
      </c>
      <c r="L478" t="s">
        <v>3437</v>
      </c>
    </row>
    <row r="479" spans="1:12">
      <c r="A479" t="s">
        <v>3431</v>
      </c>
      <c r="B479" t="s">
        <v>3432</v>
      </c>
      <c r="C479">
        <v>32</v>
      </c>
      <c r="D479" t="s">
        <v>3436</v>
      </c>
      <c r="E479" t="s">
        <v>3342</v>
      </c>
      <c r="F479" t="s">
        <v>3434</v>
      </c>
      <c r="G479">
        <v>1961</v>
      </c>
      <c r="H479">
        <v>1988</v>
      </c>
      <c r="I479">
        <v>859.53600000000006</v>
      </c>
      <c r="J479">
        <v>812.8</v>
      </c>
      <c r="K479">
        <v>23.367999999999999</v>
      </c>
      <c r="L479" t="s">
        <v>3437</v>
      </c>
    </row>
    <row r="480" spans="1:12">
      <c r="A480" t="s">
        <v>3431</v>
      </c>
      <c r="B480" t="s">
        <v>3432</v>
      </c>
      <c r="C480">
        <v>33</v>
      </c>
      <c r="D480" t="s">
        <v>3436</v>
      </c>
      <c r="E480" t="s">
        <v>3342</v>
      </c>
      <c r="F480" t="s">
        <v>3434</v>
      </c>
      <c r="G480">
        <v>1961</v>
      </c>
      <c r="H480">
        <v>1988</v>
      </c>
      <c r="I480">
        <v>885.952</v>
      </c>
      <c r="J480">
        <v>838.2</v>
      </c>
      <c r="K480">
        <v>23.876000000000001</v>
      </c>
      <c r="L480" t="s">
        <v>3437</v>
      </c>
    </row>
    <row r="481" spans="1:12">
      <c r="A481" t="s">
        <v>3431</v>
      </c>
      <c r="B481" t="s">
        <v>3432</v>
      </c>
      <c r="C481">
        <v>36</v>
      </c>
      <c r="D481" t="s">
        <v>3436</v>
      </c>
      <c r="E481" t="s">
        <v>3342</v>
      </c>
      <c r="F481" t="s">
        <v>3434</v>
      </c>
      <c r="G481">
        <v>1961</v>
      </c>
      <c r="H481">
        <v>1988</v>
      </c>
      <c r="I481">
        <v>964.18399999999997</v>
      </c>
      <c r="J481">
        <v>914.4</v>
      </c>
      <c r="K481">
        <v>24.891999999999999</v>
      </c>
      <c r="L481" t="s">
        <v>3437</v>
      </c>
    </row>
    <row r="482" spans="1:12">
      <c r="A482" t="s">
        <v>3431</v>
      </c>
      <c r="B482" t="s">
        <v>3432</v>
      </c>
      <c r="C482">
        <v>38</v>
      </c>
      <c r="D482" t="s">
        <v>3436</v>
      </c>
      <c r="E482" t="s">
        <v>3342</v>
      </c>
      <c r="F482" t="s">
        <v>3434</v>
      </c>
      <c r="G482">
        <v>1961</v>
      </c>
      <c r="H482">
        <v>1988</v>
      </c>
      <c r="I482">
        <v>1016.508</v>
      </c>
      <c r="J482">
        <v>965.2</v>
      </c>
      <c r="K482">
        <v>25.654</v>
      </c>
      <c r="L482" t="s">
        <v>3437</v>
      </c>
    </row>
    <row r="483" spans="1:12">
      <c r="A483" t="s">
        <v>3431</v>
      </c>
      <c r="B483" t="s">
        <v>3432</v>
      </c>
      <c r="C483">
        <v>39</v>
      </c>
      <c r="D483" t="s">
        <v>3436</v>
      </c>
      <c r="E483" t="s">
        <v>3342</v>
      </c>
      <c r="F483" t="s">
        <v>3434</v>
      </c>
      <c r="G483">
        <v>1961</v>
      </c>
      <c r="H483">
        <v>1988</v>
      </c>
      <c r="I483">
        <v>1042.4159999999999</v>
      </c>
      <c r="J483">
        <v>990.6</v>
      </c>
      <c r="K483">
        <v>25.908000000000001</v>
      </c>
      <c r="L483" t="s">
        <v>3437</v>
      </c>
    </row>
    <row r="484" spans="1:12">
      <c r="A484" t="s">
        <v>3431</v>
      </c>
      <c r="B484" t="s">
        <v>3432</v>
      </c>
      <c r="C484">
        <v>40</v>
      </c>
      <c r="D484" t="s">
        <v>3436</v>
      </c>
      <c r="E484" t="s">
        <v>3342</v>
      </c>
      <c r="F484" t="s">
        <v>3434</v>
      </c>
      <c r="G484">
        <v>1961</v>
      </c>
      <c r="H484">
        <v>1988</v>
      </c>
      <c r="I484">
        <v>1068.3240000000001</v>
      </c>
      <c r="J484">
        <v>1016</v>
      </c>
      <c r="K484">
        <v>26.161999999999999</v>
      </c>
      <c r="L484" t="s">
        <v>3437</v>
      </c>
    </row>
    <row r="485" spans="1:12">
      <c r="A485" t="s">
        <v>3431</v>
      </c>
      <c r="B485" t="s">
        <v>3432</v>
      </c>
      <c r="C485">
        <v>42</v>
      </c>
      <c r="D485" t="s">
        <v>3436</v>
      </c>
      <c r="E485" t="s">
        <v>3342</v>
      </c>
      <c r="F485" t="s">
        <v>3434</v>
      </c>
      <c r="G485">
        <v>1961</v>
      </c>
      <c r="H485">
        <v>1988</v>
      </c>
      <c r="I485">
        <v>1120.6479999999999</v>
      </c>
      <c r="J485">
        <v>1066.8</v>
      </c>
      <c r="K485">
        <v>26.923999999999999</v>
      </c>
      <c r="L485" t="s">
        <v>3437</v>
      </c>
    </row>
    <row r="486" spans="1:12">
      <c r="A486" t="s">
        <v>3431</v>
      </c>
      <c r="B486" t="s">
        <v>3432</v>
      </c>
      <c r="C486">
        <v>44</v>
      </c>
      <c r="D486" t="s">
        <v>3436</v>
      </c>
      <c r="E486" t="s">
        <v>3342</v>
      </c>
      <c r="F486" t="s">
        <v>3434</v>
      </c>
      <c r="G486">
        <v>1961</v>
      </c>
      <c r="H486">
        <v>1988</v>
      </c>
      <c r="I486">
        <v>1172.4639999999999</v>
      </c>
      <c r="J486">
        <v>1117.5999999999999</v>
      </c>
      <c r="K486">
        <v>27.431999999999999</v>
      </c>
      <c r="L486" t="s">
        <v>3437</v>
      </c>
    </row>
    <row r="487" spans="1:12">
      <c r="A487" t="s">
        <v>3431</v>
      </c>
      <c r="B487" t="s">
        <v>3432</v>
      </c>
      <c r="C487">
        <v>45</v>
      </c>
      <c r="D487" t="s">
        <v>3436</v>
      </c>
      <c r="E487" t="s">
        <v>3342</v>
      </c>
      <c r="F487" t="s">
        <v>3434</v>
      </c>
      <c r="G487">
        <v>1961</v>
      </c>
      <c r="H487">
        <v>1988</v>
      </c>
      <c r="I487">
        <v>1198.3720000000001</v>
      </c>
      <c r="J487">
        <v>1143</v>
      </c>
      <c r="K487">
        <v>27.686</v>
      </c>
      <c r="L487" t="s">
        <v>3437</v>
      </c>
    </row>
    <row r="488" spans="1:12">
      <c r="A488" t="s">
        <v>3431</v>
      </c>
      <c r="B488" t="s">
        <v>3432</v>
      </c>
      <c r="C488">
        <v>46</v>
      </c>
      <c r="D488" t="s">
        <v>3436</v>
      </c>
      <c r="E488" t="s">
        <v>3342</v>
      </c>
      <c r="F488" t="s">
        <v>3434</v>
      </c>
      <c r="G488">
        <v>1961</v>
      </c>
      <c r="H488">
        <v>1988</v>
      </c>
      <c r="I488">
        <v>1224.788</v>
      </c>
      <c r="J488">
        <v>1168.4000000000001</v>
      </c>
      <c r="K488">
        <v>28.193999999999999</v>
      </c>
      <c r="L488" t="s">
        <v>3437</v>
      </c>
    </row>
    <row r="489" spans="1:12">
      <c r="A489" t="s">
        <v>3431</v>
      </c>
      <c r="B489" t="s">
        <v>3432</v>
      </c>
      <c r="C489">
        <v>48</v>
      </c>
      <c r="D489" t="s">
        <v>3436</v>
      </c>
      <c r="E489" t="s">
        <v>3342</v>
      </c>
      <c r="F489" t="s">
        <v>3434</v>
      </c>
      <c r="G489">
        <v>1961</v>
      </c>
      <c r="H489">
        <v>1988</v>
      </c>
      <c r="I489">
        <v>1276.604</v>
      </c>
      <c r="J489">
        <v>1219.2</v>
      </c>
      <c r="K489">
        <v>28.701999999999991</v>
      </c>
      <c r="L489" t="s">
        <v>3437</v>
      </c>
    </row>
    <row r="490" spans="1:12">
      <c r="A490" t="s">
        <v>3431</v>
      </c>
      <c r="B490" t="s">
        <v>3432</v>
      </c>
      <c r="C490">
        <v>3</v>
      </c>
      <c r="D490" t="s">
        <v>3436</v>
      </c>
      <c r="E490" t="s">
        <v>3345</v>
      </c>
      <c r="F490" t="s">
        <v>3398</v>
      </c>
      <c r="G490">
        <v>1961</v>
      </c>
      <c r="H490">
        <v>1988</v>
      </c>
      <c r="I490">
        <v>95.503999999999991</v>
      </c>
      <c r="J490">
        <v>76.2</v>
      </c>
      <c r="K490">
        <v>9.6519999999999992</v>
      </c>
      <c r="L490" t="s">
        <v>3437</v>
      </c>
    </row>
    <row r="491" spans="1:12">
      <c r="A491" t="s">
        <v>3431</v>
      </c>
      <c r="B491" t="s">
        <v>3432</v>
      </c>
      <c r="C491">
        <v>4</v>
      </c>
      <c r="D491" t="s">
        <v>3436</v>
      </c>
      <c r="E491" t="s">
        <v>3345</v>
      </c>
      <c r="F491" t="s">
        <v>3398</v>
      </c>
      <c r="G491">
        <v>1961</v>
      </c>
      <c r="H491">
        <v>1988</v>
      </c>
      <c r="I491">
        <v>121.92</v>
      </c>
      <c r="J491">
        <v>101.6</v>
      </c>
      <c r="K491">
        <v>10.16</v>
      </c>
      <c r="L491" t="s">
        <v>3437</v>
      </c>
    </row>
    <row r="492" spans="1:12">
      <c r="A492" t="s">
        <v>3431</v>
      </c>
      <c r="B492" t="s">
        <v>3432</v>
      </c>
      <c r="C492">
        <v>5</v>
      </c>
      <c r="D492" t="s">
        <v>3436</v>
      </c>
      <c r="E492" t="s">
        <v>3345</v>
      </c>
      <c r="F492" t="s">
        <v>3398</v>
      </c>
      <c r="G492">
        <v>1961</v>
      </c>
      <c r="H492">
        <v>1988</v>
      </c>
      <c r="I492">
        <v>149.86000000000001</v>
      </c>
      <c r="J492">
        <v>127</v>
      </c>
      <c r="K492">
        <v>11.43</v>
      </c>
      <c r="L492" t="s">
        <v>3437</v>
      </c>
    </row>
    <row r="493" spans="1:12">
      <c r="A493" t="s">
        <v>3431</v>
      </c>
      <c r="B493" t="s">
        <v>3432</v>
      </c>
      <c r="C493">
        <v>6</v>
      </c>
      <c r="D493" t="s">
        <v>3436</v>
      </c>
      <c r="E493" t="s">
        <v>3345</v>
      </c>
      <c r="F493" t="s">
        <v>3398</v>
      </c>
      <c r="G493">
        <v>1961</v>
      </c>
      <c r="H493">
        <v>1988</v>
      </c>
      <c r="I493">
        <v>177.292</v>
      </c>
      <c r="J493">
        <v>152.4</v>
      </c>
      <c r="K493">
        <v>12.446</v>
      </c>
      <c r="L493" t="s">
        <v>3437</v>
      </c>
    </row>
    <row r="494" spans="1:12">
      <c r="A494" t="s">
        <v>3431</v>
      </c>
      <c r="B494" t="s">
        <v>3432</v>
      </c>
      <c r="C494">
        <v>7</v>
      </c>
      <c r="D494" t="s">
        <v>3436</v>
      </c>
      <c r="E494" t="s">
        <v>3345</v>
      </c>
      <c r="F494" t="s">
        <v>3398</v>
      </c>
      <c r="G494">
        <v>1961</v>
      </c>
      <c r="H494">
        <v>1988</v>
      </c>
      <c r="I494">
        <v>204.72399999999999</v>
      </c>
      <c r="J494">
        <v>177.8</v>
      </c>
      <c r="K494">
        <v>13.462</v>
      </c>
      <c r="L494" t="s">
        <v>3437</v>
      </c>
    </row>
    <row r="495" spans="1:12">
      <c r="A495" t="s">
        <v>3431</v>
      </c>
      <c r="B495" t="s">
        <v>3432</v>
      </c>
      <c r="C495">
        <v>8</v>
      </c>
      <c r="D495" t="s">
        <v>3436</v>
      </c>
      <c r="E495" t="s">
        <v>3345</v>
      </c>
      <c r="F495" t="s">
        <v>3398</v>
      </c>
      <c r="G495">
        <v>1961</v>
      </c>
      <c r="H495">
        <v>1988</v>
      </c>
      <c r="I495">
        <v>232.15600000000001</v>
      </c>
      <c r="J495">
        <v>203.2</v>
      </c>
      <c r="K495">
        <v>14.478</v>
      </c>
      <c r="L495" t="s">
        <v>3437</v>
      </c>
    </row>
    <row r="496" spans="1:12">
      <c r="A496" t="s">
        <v>3431</v>
      </c>
      <c r="B496" t="s">
        <v>3432</v>
      </c>
      <c r="C496">
        <v>9</v>
      </c>
      <c r="D496" t="s">
        <v>3436</v>
      </c>
      <c r="E496" t="s">
        <v>3345</v>
      </c>
      <c r="F496" t="s">
        <v>3398</v>
      </c>
      <c r="G496">
        <v>1961</v>
      </c>
      <c r="H496">
        <v>1988</v>
      </c>
      <c r="I496">
        <v>259.08</v>
      </c>
      <c r="J496">
        <v>228.6</v>
      </c>
      <c r="K496">
        <v>15.24</v>
      </c>
      <c r="L496" t="s">
        <v>3437</v>
      </c>
    </row>
    <row r="497" spans="1:12">
      <c r="A497" t="s">
        <v>3431</v>
      </c>
      <c r="B497" t="s">
        <v>3432</v>
      </c>
      <c r="C497">
        <v>10</v>
      </c>
      <c r="D497" t="s">
        <v>3436</v>
      </c>
      <c r="E497" t="s">
        <v>3345</v>
      </c>
      <c r="F497" t="s">
        <v>3398</v>
      </c>
      <c r="G497">
        <v>1961</v>
      </c>
      <c r="H497">
        <v>1988</v>
      </c>
      <c r="I497">
        <v>286.00400000000002</v>
      </c>
      <c r="J497">
        <v>254</v>
      </c>
      <c r="K497">
        <v>16.001999999999999</v>
      </c>
      <c r="L497" t="s">
        <v>3437</v>
      </c>
    </row>
    <row r="498" spans="1:12">
      <c r="A498" t="s">
        <v>3431</v>
      </c>
      <c r="B498" t="s">
        <v>3432</v>
      </c>
      <c r="C498">
        <v>12</v>
      </c>
      <c r="D498" t="s">
        <v>3436</v>
      </c>
      <c r="E498" t="s">
        <v>3345</v>
      </c>
      <c r="F498" t="s">
        <v>3398</v>
      </c>
      <c r="G498">
        <v>1961</v>
      </c>
      <c r="H498">
        <v>1988</v>
      </c>
      <c r="I498">
        <v>333.75599999999997</v>
      </c>
      <c r="J498">
        <v>298.70400000000001</v>
      </c>
      <c r="K498">
        <v>17.526</v>
      </c>
      <c r="L498" t="s">
        <v>3437</v>
      </c>
    </row>
    <row r="499" spans="1:12">
      <c r="A499" t="s">
        <v>3431</v>
      </c>
      <c r="B499" t="s">
        <v>3432</v>
      </c>
      <c r="C499">
        <v>14</v>
      </c>
      <c r="D499" t="s">
        <v>3436</v>
      </c>
      <c r="E499" t="s">
        <v>3345</v>
      </c>
      <c r="F499" t="s">
        <v>3398</v>
      </c>
      <c r="G499">
        <v>1961</v>
      </c>
      <c r="H499">
        <v>1988</v>
      </c>
      <c r="I499">
        <v>386.58800000000002</v>
      </c>
      <c r="J499">
        <v>348.488</v>
      </c>
      <c r="K499">
        <v>19.05</v>
      </c>
      <c r="L499" t="s">
        <v>3437</v>
      </c>
    </row>
    <row r="500" spans="1:12">
      <c r="A500" t="s">
        <v>3431</v>
      </c>
      <c r="B500" t="s">
        <v>3432</v>
      </c>
      <c r="C500">
        <v>15</v>
      </c>
      <c r="D500" t="s">
        <v>3436</v>
      </c>
      <c r="E500" t="s">
        <v>3345</v>
      </c>
      <c r="F500" t="s">
        <v>3398</v>
      </c>
      <c r="G500">
        <v>1961</v>
      </c>
      <c r="H500">
        <v>1988</v>
      </c>
      <c r="I500">
        <v>413.00400000000002</v>
      </c>
      <c r="J500">
        <v>373.88799999999998</v>
      </c>
      <c r="K500">
        <v>19.558</v>
      </c>
      <c r="L500" t="s">
        <v>3437</v>
      </c>
    </row>
    <row r="501" spans="1:12">
      <c r="A501" t="s">
        <v>3431</v>
      </c>
      <c r="B501" t="s">
        <v>3432</v>
      </c>
      <c r="C501">
        <v>16</v>
      </c>
      <c r="D501" t="s">
        <v>3436</v>
      </c>
      <c r="E501" t="s">
        <v>3345</v>
      </c>
      <c r="F501" t="s">
        <v>3398</v>
      </c>
      <c r="G501">
        <v>1961</v>
      </c>
      <c r="H501">
        <v>1988</v>
      </c>
      <c r="I501">
        <v>439.42</v>
      </c>
      <c r="J501">
        <v>398.78</v>
      </c>
      <c r="K501">
        <v>20.32</v>
      </c>
      <c r="L501" t="s">
        <v>3437</v>
      </c>
    </row>
    <row r="502" spans="1:12">
      <c r="A502" t="s">
        <v>3431</v>
      </c>
      <c r="B502" t="s">
        <v>3432</v>
      </c>
      <c r="C502">
        <v>18</v>
      </c>
      <c r="D502" t="s">
        <v>3436</v>
      </c>
      <c r="E502" t="s">
        <v>3345</v>
      </c>
      <c r="F502" t="s">
        <v>3398</v>
      </c>
      <c r="G502">
        <v>1961</v>
      </c>
      <c r="H502">
        <v>1988</v>
      </c>
      <c r="I502">
        <v>492.25200000000001</v>
      </c>
      <c r="J502">
        <v>449.07199999999989</v>
      </c>
      <c r="K502">
        <v>21.59</v>
      </c>
      <c r="L502" t="s">
        <v>3437</v>
      </c>
    </row>
    <row r="503" spans="1:12">
      <c r="A503" t="s">
        <v>3431</v>
      </c>
      <c r="B503" t="s">
        <v>3432</v>
      </c>
      <c r="C503">
        <v>20</v>
      </c>
      <c r="D503" t="s">
        <v>3436</v>
      </c>
      <c r="E503" t="s">
        <v>3345</v>
      </c>
      <c r="F503" t="s">
        <v>3398</v>
      </c>
      <c r="G503">
        <v>1961</v>
      </c>
      <c r="H503">
        <v>1988</v>
      </c>
      <c r="I503">
        <v>545.08399999999995</v>
      </c>
      <c r="J503">
        <v>499.87200000000001</v>
      </c>
      <c r="K503">
        <v>22.606000000000002</v>
      </c>
      <c r="L503" t="s">
        <v>3437</v>
      </c>
    </row>
    <row r="504" spans="1:12">
      <c r="A504" t="s">
        <v>3431</v>
      </c>
      <c r="B504" t="s">
        <v>3432</v>
      </c>
      <c r="C504">
        <v>21</v>
      </c>
      <c r="D504" t="s">
        <v>3436</v>
      </c>
      <c r="E504" t="s">
        <v>3345</v>
      </c>
      <c r="F504" t="s">
        <v>3398</v>
      </c>
      <c r="G504">
        <v>1961</v>
      </c>
      <c r="H504">
        <v>1988</v>
      </c>
      <c r="I504">
        <v>571.5</v>
      </c>
      <c r="J504">
        <v>524.76400000000001</v>
      </c>
      <c r="K504">
        <v>23.367999999999999</v>
      </c>
      <c r="L504" t="s">
        <v>3437</v>
      </c>
    </row>
    <row r="505" spans="1:12">
      <c r="A505" t="s">
        <v>3431</v>
      </c>
      <c r="B505" t="s">
        <v>3432</v>
      </c>
      <c r="C505">
        <v>22</v>
      </c>
      <c r="D505" t="s">
        <v>3436</v>
      </c>
      <c r="E505" t="s">
        <v>3345</v>
      </c>
      <c r="F505" t="s">
        <v>3398</v>
      </c>
      <c r="G505">
        <v>1961</v>
      </c>
      <c r="H505">
        <v>1988</v>
      </c>
      <c r="I505">
        <v>597.91599999999994</v>
      </c>
      <c r="J505">
        <v>550.16399999999999</v>
      </c>
      <c r="K505">
        <v>23.876000000000001</v>
      </c>
      <c r="L505" t="s">
        <v>3437</v>
      </c>
    </row>
    <row r="506" spans="1:12">
      <c r="A506" t="s">
        <v>3431</v>
      </c>
      <c r="B506" t="s">
        <v>3432</v>
      </c>
      <c r="C506">
        <v>24</v>
      </c>
      <c r="D506" t="s">
        <v>3436</v>
      </c>
      <c r="E506" t="s">
        <v>3345</v>
      </c>
      <c r="F506" t="s">
        <v>3398</v>
      </c>
      <c r="G506">
        <v>1961</v>
      </c>
      <c r="H506">
        <v>1988</v>
      </c>
      <c r="I506">
        <v>650.24</v>
      </c>
      <c r="J506">
        <v>600.45600000000002</v>
      </c>
      <c r="K506">
        <v>24.891999999999999</v>
      </c>
      <c r="L506" t="s">
        <v>3437</v>
      </c>
    </row>
    <row r="507" spans="1:12">
      <c r="A507" t="s">
        <v>3431</v>
      </c>
      <c r="B507" t="s">
        <v>3432</v>
      </c>
      <c r="C507">
        <v>26</v>
      </c>
      <c r="D507" t="s">
        <v>3436</v>
      </c>
      <c r="E507" t="s">
        <v>3345</v>
      </c>
      <c r="F507" t="s">
        <v>3398</v>
      </c>
      <c r="G507">
        <v>1961</v>
      </c>
      <c r="H507">
        <v>1988</v>
      </c>
      <c r="I507">
        <v>702.56399999999996</v>
      </c>
      <c r="J507">
        <v>650.74799999999993</v>
      </c>
      <c r="K507">
        <v>25.908000000000001</v>
      </c>
      <c r="L507" t="s">
        <v>3437</v>
      </c>
    </row>
    <row r="508" spans="1:12">
      <c r="A508" t="s">
        <v>3431</v>
      </c>
      <c r="B508" t="s">
        <v>3432</v>
      </c>
      <c r="C508">
        <v>27</v>
      </c>
      <c r="D508" t="s">
        <v>3436</v>
      </c>
      <c r="E508" t="s">
        <v>3345</v>
      </c>
      <c r="F508" t="s">
        <v>3398</v>
      </c>
      <c r="G508">
        <v>1961</v>
      </c>
      <c r="H508">
        <v>1988</v>
      </c>
      <c r="I508">
        <v>728.98</v>
      </c>
      <c r="J508">
        <v>676.14800000000002</v>
      </c>
      <c r="K508">
        <v>26.416</v>
      </c>
      <c r="L508" t="s">
        <v>3437</v>
      </c>
    </row>
    <row r="509" spans="1:12">
      <c r="A509" t="s">
        <v>3431</v>
      </c>
      <c r="B509" t="s">
        <v>3432</v>
      </c>
      <c r="C509">
        <v>28</v>
      </c>
      <c r="D509" t="s">
        <v>3436</v>
      </c>
      <c r="E509" t="s">
        <v>3345</v>
      </c>
      <c r="F509" t="s">
        <v>3398</v>
      </c>
      <c r="G509">
        <v>1961</v>
      </c>
      <c r="H509">
        <v>1988</v>
      </c>
      <c r="I509">
        <v>754.88799999999992</v>
      </c>
      <c r="J509">
        <v>701.04</v>
      </c>
      <c r="K509">
        <v>26.923999999999999</v>
      </c>
      <c r="L509" t="s">
        <v>3437</v>
      </c>
    </row>
    <row r="510" spans="1:12">
      <c r="A510" t="s">
        <v>3431</v>
      </c>
      <c r="B510" t="s">
        <v>3432</v>
      </c>
      <c r="C510">
        <v>30</v>
      </c>
      <c r="D510" t="s">
        <v>3436</v>
      </c>
      <c r="E510" t="s">
        <v>3345</v>
      </c>
      <c r="F510" t="s">
        <v>3398</v>
      </c>
      <c r="G510">
        <v>1961</v>
      </c>
      <c r="H510">
        <v>1988</v>
      </c>
      <c r="I510">
        <v>807.21199999999999</v>
      </c>
      <c r="J510">
        <v>751.84</v>
      </c>
      <c r="K510">
        <v>27.686</v>
      </c>
      <c r="L510" t="s">
        <v>3437</v>
      </c>
    </row>
    <row r="511" spans="1:12">
      <c r="A511" t="s">
        <v>3431</v>
      </c>
      <c r="B511" t="s">
        <v>3432</v>
      </c>
      <c r="C511">
        <v>32</v>
      </c>
      <c r="D511" t="s">
        <v>3436</v>
      </c>
      <c r="E511" t="s">
        <v>3345</v>
      </c>
      <c r="F511" t="s">
        <v>3398</v>
      </c>
      <c r="G511">
        <v>1961</v>
      </c>
      <c r="H511">
        <v>1988</v>
      </c>
      <c r="I511">
        <v>859.53600000000006</v>
      </c>
      <c r="J511">
        <v>802.13200000000006</v>
      </c>
      <c r="K511">
        <v>28.701999999999991</v>
      </c>
      <c r="L511" t="s">
        <v>3437</v>
      </c>
    </row>
    <row r="512" spans="1:12">
      <c r="A512" t="s">
        <v>3431</v>
      </c>
      <c r="B512" t="s">
        <v>3432</v>
      </c>
      <c r="C512">
        <v>33</v>
      </c>
      <c r="D512" t="s">
        <v>3436</v>
      </c>
      <c r="E512" t="s">
        <v>3345</v>
      </c>
      <c r="F512" t="s">
        <v>3398</v>
      </c>
      <c r="G512">
        <v>1961</v>
      </c>
      <c r="H512">
        <v>1988</v>
      </c>
      <c r="I512">
        <v>885.952</v>
      </c>
      <c r="J512">
        <v>827.53200000000004</v>
      </c>
      <c r="K512">
        <v>29.21</v>
      </c>
      <c r="L512" t="s">
        <v>3437</v>
      </c>
    </row>
    <row r="513" spans="1:12">
      <c r="A513" t="s">
        <v>3431</v>
      </c>
      <c r="B513" t="s">
        <v>3432</v>
      </c>
      <c r="C513">
        <v>36</v>
      </c>
      <c r="D513" t="s">
        <v>3436</v>
      </c>
      <c r="E513" t="s">
        <v>3345</v>
      </c>
      <c r="F513" t="s">
        <v>3398</v>
      </c>
      <c r="G513">
        <v>1961</v>
      </c>
      <c r="H513">
        <v>1988</v>
      </c>
      <c r="I513">
        <v>964.18399999999997</v>
      </c>
      <c r="J513">
        <v>903.22399999999993</v>
      </c>
      <c r="K513">
        <v>30.48</v>
      </c>
      <c r="L513" t="s">
        <v>3437</v>
      </c>
    </row>
    <row r="514" spans="1:12">
      <c r="A514" t="s">
        <v>3431</v>
      </c>
      <c r="B514" t="s">
        <v>3432</v>
      </c>
      <c r="C514">
        <v>38</v>
      </c>
      <c r="D514" t="s">
        <v>3436</v>
      </c>
      <c r="E514" t="s">
        <v>3345</v>
      </c>
      <c r="F514" t="s">
        <v>3398</v>
      </c>
      <c r="G514">
        <v>1961</v>
      </c>
      <c r="H514">
        <v>1988</v>
      </c>
      <c r="I514">
        <v>1016.508</v>
      </c>
      <c r="J514">
        <v>954.024</v>
      </c>
      <c r="K514">
        <v>31.242000000000001</v>
      </c>
      <c r="L514" t="s">
        <v>3437</v>
      </c>
    </row>
    <row r="515" spans="1:12">
      <c r="A515" t="s">
        <v>3431</v>
      </c>
      <c r="B515" t="s">
        <v>3432</v>
      </c>
      <c r="C515">
        <v>39</v>
      </c>
      <c r="D515" t="s">
        <v>3436</v>
      </c>
      <c r="E515" t="s">
        <v>3345</v>
      </c>
      <c r="F515" t="s">
        <v>3398</v>
      </c>
      <c r="G515">
        <v>1961</v>
      </c>
      <c r="H515">
        <v>1988</v>
      </c>
      <c r="I515">
        <v>1042.4159999999999</v>
      </c>
      <c r="J515">
        <v>978.91599999999994</v>
      </c>
      <c r="K515">
        <v>31.75</v>
      </c>
      <c r="L515" t="s">
        <v>3437</v>
      </c>
    </row>
    <row r="516" spans="1:12">
      <c r="A516" t="s">
        <v>3431</v>
      </c>
      <c r="B516" t="s">
        <v>3432</v>
      </c>
      <c r="C516">
        <v>40</v>
      </c>
      <c r="D516" t="s">
        <v>3436</v>
      </c>
      <c r="E516" t="s">
        <v>3345</v>
      </c>
      <c r="F516" t="s">
        <v>3398</v>
      </c>
      <c r="G516">
        <v>1961</v>
      </c>
      <c r="H516">
        <v>1988</v>
      </c>
      <c r="I516">
        <v>1068.3240000000001</v>
      </c>
      <c r="J516">
        <v>1004.316</v>
      </c>
      <c r="K516">
        <v>32.003999999999998</v>
      </c>
      <c r="L516" t="s">
        <v>3437</v>
      </c>
    </row>
    <row r="517" spans="1:12">
      <c r="A517" t="s">
        <v>3431</v>
      </c>
      <c r="B517" t="s">
        <v>3432</v>
      </c>
      <c r="C517">
        <v>42</v>
      </c>
      <c r="D517" t="s">
        <v>3436</v>
      </c>
      <c r="E517" t="s">
        <v>3345</v>
      </c>
      <c r="F517" t="s">
        <v>3398</v>
      </c>
      <c r="G517">
        <v>1961</v>
      </c>
      <c r="H517">
        <v>1988</v>
      </c>
      <c r="I517">
        <v>1120.6479999999999</v>
      </c>
      <c r="J517">
        <v>1054.6079999999999</v>
      </c>
      <c r="K517">
        <v>33.020000000000003</v>
      </c>
      <c r="L517" t="s">
        <v>3437</v>
      </c>
    </row>
    <row r="518" spans="1:12">
      <c r="A518" t="s">
        <v>3431</v>
      </c>
      <c r="B518" t="s">
        <v>3432</v>
      </c>
      <c r="C518">
        <v>44</v>
      </c>
      <c r="D518" t="s">
        <v>3436</v>
      </c>
      <c r="E518" t="s">
        <v>3345</v>
      </c>
      <c r="F518" t="s">
        <v>3398</v>
      </c>
      <c r="G518">
        <v>1961</v>
      </c>
      <c r="H518">
        <v>1988</v>
      </c>
      <c r="I518">
        <v>1172.4639999999999</v>
      </c>
      <c r="J518">
        <v>1104.9000000000001</v>
      </c>
      <c r="K518">
        <v>33.781999999999996</v>
      </c>
      <c r="L518" t="s">
        <v>3437</v>
      </c>
    </row>
    <row r="519" spans="1:12">
      <c r="A519" t="s">
        <v>3431</v>
      </c>
      <c r="B519" t="s">
        <v>3432</v>
      </c>
      <c r="C519">
        <v>45</v>
      </c>
      <c r="D519" t="s">
        <v>3436</v>
      </c>
      <c r="E519" t="s">
        <v>3345</v>
      </c>
      <c r="F519" t="s">
        <v>3398</v>
      </c>
      <c r="G519">
        <v>1961</v>
      </c>
      <c r="H519">
        <v>1988</v>
      </c>
      <c r="I519">
        <v>1198.3720000000001</v>
      </c>
      <c r="J519">
        <v>1129.7919999999999</v>
      </c>
      <c r="K519">
        <v>34.29</v>
      </c>
      <c r="L519" t="s">
        <v>3437</v>
      </c>
    </row>
    <row r="520" spans="1:12">
      <c r="A520" t="s">
        <v>3431</v>
      </c>
      <c r="B520" t="s">
        <v>3432</v>
      </c>
      <c r="C520">
        <v>46</v>
      </c>
      <c r="D520" t="s">
        <v>3436</v>
      </c>
      <c r="E520" t="s">
        <v>3345</v>
      </c>
      <c r="F520" t="s">
        <v>3398</v>
      </c>
      <c r="G520">
        <v>1961</v>
      </c>
      <c r="H520">
        <v>1988</v>
      </c>
      <c r="I520">
        <v>1224.788</v>
      </c>
      <c r="J520">
        <v>1155.7</v>
      </c>
      <c r="K520">
        <v>34.543999999999997</v>
      </c>
      <c r="L520" t="s">
        <v>3437</v>
      </c>
    </row>
    <row r="521" spans="1:12">
      <c r="A521" t="s">
        <v>3431</v>
      </c>
      <c r="B521" t="s">
        <v>3432</v>
      </c>
      <c r="C521">
        <v>48</v>
      </c>
      <c r="D521" t="s">
        <v>3436</v>
      </c>
      <c r="E521" t="s">
        <v>3345</v>
      </c>
      <c r="F521" t="s">
        <v>3398</v>
      </c>
      <c r="G521">
        <v>1961</v>
      </c>
      <c r="H521">
        <v>1988</v>
      </c>
      <c r="I521">
        <v>1276.604</v>
      </c>
      <c r="J521">
        <v>1206.5</v>
      </c>
      <c r="K521">
        <v>35.051999999999992</v>
      </c>
      <c r="L521" t="s">
        <v>3437</v>
      </c>
    </row>
    <row r="522" spans="1:12">
      <c r="A522" t="s">
        <v>3431</v>
      </c>
      <c r="B522" t="s">
        <v>3432</v>
      </c>
      <c r="C522">
        <v>3</v>
      </c>
      <c r="D522" t="s">
        <v>3436</v>
      </c>
      <c r="E522" t="s">
        <v>3347</v>
      </c>
      <c r="F522" t="s">
        <v>3399</v>
      </c>
      <c r="G522">
        <v>1961</v>
      </c>
      <c r="H522">
        <v>1988</v>
      </c>
      <c r="I522">
        <v>95.503999999999991</v>
      </c>
      <c r="J522">
        <v>75.183999999999997</v>
      </c>
      <c r="K522">
        <v>10.16</v>
      </c>
      <c r="L522" t="s">
        <v>3437</v>
      </c>
    </row>
    <row r="523" spans="1:12">
      <c r="A523" t="s">
        <v>3431</v>
      </c>
      <c r="B523" t="s">
        <v>3432</v>
      </c>
      <c r="C523">
        <v>4</v>
      </c>
      <c r="D523" t="s">
        <v>3436</v>
      </c>
      <c r="E523" t="s">
        <v>3347</v>
      </c>
      <c r="F523" t="s">
        <v>3399</v>
      </c>
      <c r="G523">
        <v>1961</v>
      </c>
      <c r="H523">
        <v>1988</v>
      </c>
      <c r="I523">
        <v>121.92</v>
      </c>
      <c r="J523">
        <v>98.552000000000007</v>
      </c>
      <c r="K523">
        <v>11.683999999999999</v>
      </c>
      <c r="L523" t="s">
        <v>3437</v>
      </c>
    </row>
    <row r="524" spans="1:12">
      <c r="A524" t="s">
        <v>3431</v>
      </c>
      <c r="B524" t="s">
        <v>3432</v>
      </c>
      <c r="C524">
        <v>5</v>
      </c>
      <c r="D524" t="s">
        <v>3436</v>
      </c>
      <c r="E524" t="s">
        <v>3347</v>
      </c>
      <c r="F524" t="s">
        <v>3399</v>
      </c>
      <c r="G524">
        <v>1961</v>
      </c>
      <c r="H524">
        <v>1988</v>
      </c>
      <c r="I524">
        <v>149.86000000000001</v>
      </c>
      <c r="J524">
        <v>123.444</v>
      </c>
      <c r="K524">
        <v>13.208</v>
      </c>
      <c r="L524" t="s">
        <v>3437</v>
      </c>
    </row>
    <row r="525" spans="1:12">
      <c r="A525" t="s">
        <v>3431</v>
      </c>
      <c r="B525" t="s">
        <v>3432</v>
      </c>
      <c r="C525">
        <v>6</v>
      </c>
      <c r="D525" t="s">
        <v>3436</v>
      </c>
      <c r="E525" t="s">
        <v>3347</v>
      </c>
      <c r="F525" t="s">
        <v>3399</v>
      </c>
      <c r="G525">
        <v>1961</v>
      </c>
      <c r="H525">
        <v>1988</v>
      </c>
      <c r="I525">
        <v>177.292</v>
      </c>
      <c r="J525">
        <v>148.33600000000001</v>
      </c>
      <c r="K525">
        <v>14.478</v>
      </c>
      <c r="L525" t="s">
        <v>3437</v>
      </c>
    </row>
    <row r="526" spans="1:12">
      <c r="A526" t="s">
        <v>3431</v>
      </c>
      <c r="B526" t="s">
        <v>3432</v>
      </c>
      <c r="C526">
        <v>7</v>
      </c>
      <c r="D526" t="s">
        <v>3436</v>
      </c>
      <c r="E526" t="s">
        <v>3347</v>
      </c>
      <c r="F526" t="s">
        <v>3399</v>
      </c>
      <c r="G526">
        <v>1961</v>
      </c>
      <c r="H526">
        <v>1988</v>
      </c>
      <c r="I526">
        <v>204.72399999999999</v>
      </c>
      <c r="J526">
        <v>173.73599999999999</v>
      </c>
      <c r="K526">
        <v>15.494</v>
      </c>
      <c r="L526" t="s">
        <v>3437</v>
      </c>
    </row>
    <row r="527" spans="1:12">
      <c r="A527" t="s">
        <v>3431</v>
      </c>
      <c r="B527" t="s">
        <v>3432</v>
      </c>
      <c r="C527">
        <v>8</v>
      </c>
      <c r="D527" t="s">
        <v>3436</v>
      </c>
      <c r="E527" t="s">
        <v>3347</v>
      </c>
      <c r="F527" t="s">
        <v>3399</v>
      </c>
      <c r="G527">
        <v>1961</v>
      </c>
      <c r="H527">
        <v>1988</v>
      </c>
      <c r="I527">
        <v>232.15600000000001</v>
      </c>
      <c r="J527">
        <v>199.136</v>
      </c>
      <c r="K527">
        <v>16.510000000000002</v>
      </c>
      <c r="L527" t="s">
        <v>3437</v>
      </c>
    </row>
    <row r="528" spans="1:12">
      <c r="A528" t="s">
        <v>3431</v>
      </c>
      <c r="B528" t="s">
        <v>3432</v>
      </c>
      <c r="C528">
        <v>9</v>
      </c>
      <c r="D528" t="s">
        <v>3436</v>
      </c>
      <c r="E528" t="s">
        <v>3347</v>
      </c>
      <c r="F528" t="s">
        <v>3399</v>
      </c>
      <c r="G528">
        <v>1961</v>
      </c>
      <c r="H528">
        <v>1988</v>
      </c>
      <c r="I528">
        <v>259.08</v>
      </c>
      <c r="J528">
        <v>224.02799999999999</v>
      </c>
      <c r="K528">
        <v>17.526</v>
      </c>
      <c r="L528" t="s">
        <v>3437</v>
      </c>
    </row>
    <row r="529" spans="1:12">
      <c r="A529" t="s">
        <v>3431</v>
      </c>
      <c r="B529" t="s">
        <v>3432</v>
      </c>
      <c r="C529">
        <v>10</v>
      </c>
      <c r="D529" t="s">
        <v>3436</v>
      </c>
      <c r="E529" t="s">
        <v>3347</v>
      </c>
      <c r="F529" t="s">
        <v>3399</v>
      </c>
      <c r="G529">
        <v>1961</v>
      </c>
      <c r="H529">
        <v>1988</v>
      </c>
      <c r="I529">
        <v>286.00400000000002</v>
      </c>
      <c r="J529">
        <v>248.92</v>
      </c>
      <c r="K529">
        <v>18.542000000000002</v>
      </c>
      <c r="L529" t="s">
        <v>3437</v>
      </c>
    </row>
    <row r="530" spans="1:12">
      <c r="A530" t="s">
        <v>3431</v>
      </c>
      <c r="B530" t="s">
        <v>3432</v>
      </c>
      <c r="C530">
        <v>12</v>
      </c>
      <c r="D530" t="s">
        <v>3436</v>
      </c>
      <c r="E530" t="s">
        <v>3347</v>
      </c>
      <c r="F530" t="s">
        <v>3399</v>
      </c>
      <c r="G530">
        <v>1961</v>
      </c>
      <c r="H530">
        <v>1988</v>
      </c>
      <c r="I530">
        <v>333.75599999999997</v>
      </c>
      <c r="J530">
        <v>293.11599999999999</v>
      </c>
      <c r="K530">
        <v>20.32</v>
      </c>
      <c r="L530" t="s">
        <v>3437</v>
      </c>
    </row>
    <row r="531" spans="1:12">
      <c r="A531" t="s">
        <v>3431</v>
      </c>
      <c r="B531" t="s">
        <v>3432</v>
      </c>
      <c r="C531">
        <v>14</v>
      </c>
      <c r="D531" t="s">
        <v>3436</v>
      </c>
      <c r="E531" t="s">
        <v>3347</v>
      </c>
      <c r="F531" t="s">
        <v>3399</v>
      </c>
      <c r="G531">
        <v>1961</v>
      </c>
      <c r="H531">
        <v>1988</v>
      </c>
      <c r="I531">
        <v>386.58800000000002</v>
      </c>
      <c r="J531">
        <v>342.9</v>
      </c>
      <c r="K531">
        <v>21.844000000000001</v>
      </c>
      <c r="L531" t="s">
        <v>3437</v>
      </c>
    </row>
    <row r="532" spans="1:12">
      <c r="A532" t="s">
        <v>3431</v>
      </c>
      <c r="B532" t="s">
        <v>3432</v>
      </c>
      <c r="C532">
        <v>15</v>
      </c>
      <c r="D532" t="s">
        <v>3436</v>
      </c>
      <c r="E532" t="s">
        <v>3347</v>
      </c>
      <c r="F532" t="s">
        <v>3399</v>
      </c>
      <c r="G532">
        <v>1961</v>
      </c>
      <c r="H532">
        <v>1988</v>
      </c>
      <c r="I532">
        <v>413.00400000000002</v>
      </c>
      <c r="J532">
        <v>367.79199999999997</v>
      </c>
      <c r="K532">
        <v>22.606000000000002</v>
      </c>
      <c r="L532" t="s">
        <v>3437</v>
      </c>
    </row>
    <row r="533" spans="1:12">
      <c r="A533" t="s">
        <v>3431</v>
      </c>
      <c r="B533" t="s">
        <v>3432</v>
      </c>
      <c r="C533">
        <v>16</v>
      </c>
      <c r="D533" t="s">
        <v>3436</v>
      </c>
      <c r="E533" t="s">
        <v>3347</v>
      </c>
      <c r="F533" t="s">
        <v>3399</v>
      </c>
      <c r="G533">
        <v>1961</v>
      </c>
      <c r="H533">
        <v>1988</v>
      </c>
      <c r="I533">
        <v>439.42</v>
      </c>
      <c r="J533">
        <v>392.68400000000003</v>
      </c>
      <c r="K533">
        <v>23.367999999999999</v>
      </c>
      <c r="L533" t="s">
        <v>3437</v>
      </c>
    </row>
    <row r="534" spans="1:12">
      <c r="A534" t="s">
        <v>3431</v>
      </c>
      <c r="B534" t="s">
        <v>3432</v>
      </c>
      <c r="C534">
        <v>18</v>
      </c>
      <c r="D534" t="s">
        <v>3436</v>
      </c>
      <c r="E534" t="s">
        <v>3347</v>
      </c>
      <c r="F534" t="s">
        <v>3399</v>
      </c>
      <c r="G534">
        <v>1961</v>
      </c>
      <c r="H534">
        <v>1988</v>
      </c>
      <c r="I534">
        <v>492.25200000000001</v>
      </c>
      <c r="J534">
        <v>442.46800000000002</v>
      </c>
      <c r="K534">
        <v>24.891999999999999</v>
      </c>
      <c r="L534" t="s">
        <v>3437</v>
      </c>
    </row>
    <row r="535" spans="1:12">
      <c r="A535" t="s">
        <v>3431</v>
      </c>
      <c r="B535" t="s">
        <v>3432</v>
      </c>
      <c r="C535">
        <v>20</v>
      </c>
      <c r="D535" t="s">
        <v>3436</v>
      </c>
      <c r="E535" t="s">
        <v>3347</v>
      </c>
      <c r="F535" t="s">
        <v>3399</v>
      </c>
      <c r="G535">
        <v>1961</v>
      </c>
      <c r="H535">
        <v>1988</v>
      </c>
      <c r="I535">
        <v>545.08399999999995</v>
      </c>
      <c r="J535">
        <v>492.76</v>
      </c>
      <c r="K535">
        <v>26.161999999999999</v>
      </c>
      <c r="L535" t="s">
        <v>3437</v>
      </c>
    </row>
    <row r="536" spans="1:12">
      <c r="A536" t="s">
        <v>3431</v>
      </c>
      <c r="B536" t="s">
        <v>3432</v>
      </c>
      <c r="C536">
        <v>21</v>
      </c>
      <c r="D536" t="s">
        <v>3436</v>
      </c>
      <c r="E536" t="s">
        <v>3347</v>
      </c>
      <c r="F536" t="s">
        <v>3399</v>
      </c>
      <c r="G536">
        <v>1961</v>
      </c>
      <c r="H536">
        <v>1988</v>
      </c>
      <c r="I536">
        <v>571.5</v>
      </c>
      <c r="J536">
        <v>517.65200000000004</v>
      </c>
      <c r="K536">
        <v>26.923999999999999</v>
      </c>
      <c r="L536" t="s">
        <v>3437</v>
      </c>
    </row>
    <row r="537" spans="1:12">
      <c r="A537" t="s">
        <v>3431</v>
      </c>
      <c r="B537" t="s">
        <v>3432</v>
      </c>
      <c r="C537">
        <v>22</v>
      </c>
      <c r="D537" t="s">
        <v>3436</v>
      </c>
      <c r="E537" t="s">
        <v>3347</v>
      </c>
      <c r="F537" t="s">
        <v>3399</v>
      </c>
      <c r="G537">
        <v>1961</v>
      </c>
      <c r="H537">
        <v>1988</v>
      </c>
      <c r="I537">
        <v>597.91599999999994</v>
      </c>
      <c r="J537">
        <v>543.05199999999991</v>
      </c>
      <c r="K537">
        <v>27.431999999999999</v>
      </c>
      <c r="L537" t="s">
        <v>3437</v>
      </c>
    </row>
    <row r="538" spans="1:12">
      <c r="A538" t="s">
        <v>3431</v>
      </c>
      <c r="B538" t="s">
        <v>3432</v>
      </c>
      <c r="C538">
        <v>24</v>
      </c>
      <c r="D538" t="s">
        <v>3436</v>
      </c>
      <c r="E538" t="s">
        <v>3347</v>
      </c>
      <c r="F538" t="s">
        <v>3399</v>
      </c>
      <c r="G538">
        <v>1961</v>
      </c>
      <c r="H538">
        <v>1988</v>
      </c>
      <c r="I538">
        <v>650.24</v>
      </c>
      <c r="J538">
        <v>592.83600000000001</v>
      </c>
      <c r="K538">
        <v>28.701999999999991</v>
      </c>
      <c r="L538" t="s">
        <v>3437</v>
      </c>
    </row>
    <row r="539" spans="1:12">
      <c r="A539" t="s">
        <v>3431</v>
      </c>
      <c r="B539" t="s">
        <v>3432</v>
      </c>
      <c r="C539">
        <v>26</v>
      </c>
      <c r="D539" t="s">
        <v>3436</v>
      </c>
      <c r="E539" t="s">
        <v>3347</v>
      </c>
      <c r="F539" t="s">
        <v>3399</v>
      </c>
      <c r="G539">
        <v>1961</v>
      </c>
      <c r="H539">
        <v>1988</v>
      </c>
      <c r="I539">
        <v>702.56399999999996</v>
      </c>
      <c r="J539">
        <v>642.62</v>
      </c>
      <c r="K539">
        <v>29.972000000000001</v>
      </c>
      <c r="L539" t="s">
        <v>3437</v>
      </c>
    </row>
    <row r="540" spans="1:12">
      <c r="A540" t="s">
        <v>3431</v>
      </c>
      <c r="B540" t="s">
        <v>3432</v>
      </c>
      <c r="C540">
        <v>27</v>
      </c>
      <c r="D540" t="s">
        <v>3436</v>
      </c>
      <c r="E540" t="s">
        <v>3347</v>
      </c>
      <c r="F540" t="s">
        <v>3399</v>
      </c>
      <c r="G540">
        <v>1961</v>
      </c>
      <c r="H540">
        <v>1988</v>
      </c>
      <c r="I540">
        <v>728.98</v>
      </c>
      <c r="J540">
        <v>668.02</v>
      </c>
      <c r="K540">
        <v>30.48</v>
      </c>
      <c r="L540" t="s">
        <v>3437</v>
      </c>
    </row>
    <row r="541" spans="1:12">
      <c r="A541" t="s">
        <v>3431</v>
      </c>
      <c r="B541" t="s">
        <v>3432</v>
      </c>
      <c r="C541">
        <v>28</v>
      </c>
      <c r="D541" t="s">
        <v>3436</v>
      </c>
      <c r="E541" t="s">
        <v>3347</v>
      </c>
      <c r="F541" t="s">
        <v>3399</v>
      </c>
      <c r="G541">
        <v>1961</v>
      </c>
      <c r="H541">
        <v>1988</v>
      </c>
      <c r="I541">
        <v>754.88799999999992</v>
      </c>
      <c r="J541">
        <v>692.91199999999992</v>
      </c>
      <c r="K541">
        <v>30.988</v>
      </c>
      <c r="L541" t="s">
        <v>3437</v>
      </c>
    </row>
    <row r="542" spans="1:12">
      <c r="A542" t="s">
        <v>3431</v>
      </c>
      <c r="B542" t="s">
        <v>3432</v>
      </c>
      <c r="C542">
        <v>30</v>
      </c>
      <c r="D542" t="s">
        <v>3436</v>
      </c>
      <c r="E542" t="s">
        <v>3347</v>
      </c>
      <c r="F542" t="s">
        <v>3399</v>
      </c>
      <c r="G542">
        <v>1961</v>
      </c>
      <c r="H542">
        <v>1988</v>
      </c>
      <c r="I542">
        <v>807.21199999999999</v>
      </c>
      <c r="J542">
        <v>743.20399999999995</v>
      </c>
      <c r="K542">
        <v>32.003999999999998</v>
      </c>
      <c r="L542" t="s">
        <v>3437</v>
      </c>
    </row>
    <row r="543" spans="1:12">
      <c r="A543" t="s">
        <v>3431</v>
      </c>
      <c r="B543" t="s">
        <v>3432</v>
      </c>
      <c r="C543">
        <v>32</v>
      </c>
      <c r="D543" t="s">
        <v>3436</v>
      </c>
      <c r="E543" t="s">
        <v>3347</v>
      </c>
      <c r="F543" t="s">
        <v>3399</v>
      </c>
      <c r="G543">
        <v>1961</v>
      </c>
      <c r="H543">
        <v>1988</v>
      </c>
      <c r="I543">
        <v>859.53600000000006</v>
      </c>
      <c r="J543">
        <v>792.98800000000006</v>
      </c>
      <c r="K543">
        <v>33.274000000000001</v>
      </c>
      <c r="L543" t="s">
        <v>3437</v>
      </c>
    </row>
    <row r="544" spans="1:12">
      <c r="A544" t="s">
        <v>3431</v>
      </c>
      <c r="B544" t="s">
        <v>3432</v>
      </c>
      <c r="C544">
        <v>33</v>
      </c>
      <c r="D544" t="s">
        <v>3436</v>
      </c>
      <c r="E544" t="s">
        <v>3347</v>
      </c>
      <c r="F544" t="s">
        <v>3399</v>
      </c>
      <c r="G544">
        <v>1961</v>
      </c>
      <c r="H544">
        <v>1988</v>
      </c>
      <c r="I544">
        <v>885.952</v>
      </c>
      <c r="J544">
        <v>818.38800000000003</v>
      </c>
      <c r="K544">
        <v>33.781999999999996</v>
      </c>
      <c r="L544" t="s">
        <v>3437</v>
      </c>
    </row>
    <row r="545" spans="1:12">
      <c r="A545" t="s">
        <v>3431</v>
      </c>
      <c r="B545" t="s">
        <v>3432</v>
      </c>
      <c r="C545">
        <v>36</v>
      </c>
      <c r="D545" t="s">
        <v>3436</v>
      </c>
      <c r="E545" t="s">
        <v>3347</v>
      </c>
      <c r="F545" t="s">
        <v>3399</v>
      </c>
      <c r="G545">
        <v>1961</v>
      </c>
      <c r="H545">
        <v>1988</v>
      </c>
      <c r="I545">
        <v>964.18399999999997</v>
      </c>
      <c r="J545">
        <v>894.08</v>
      </c>
      <c r="K545">
        <v>35.051999999999992</v>
      </c>
      <c r="L545" t="s">
        <v>3437</v>
      </c>
    </row>
    <row r="546" spans="1:12">
      <c r="A546" t="s">
        <v>3431</v>
      </c>
      <c r="B546" t="s">
        <v>3432</v>
      </c>
      <c r="C546">
        <v>38</v>
      </c>
      <c r="D546" t="s">
        <v>3436</v>
      </c>
      <c r="E546" t="s">
        <v>3347</v>
      </c>
      <c r="F546" t="s">
        <v>3399</v>
      </c>
      <c r="G546">
        <v>1961</v>
      </c>
      <c r="H546">
        <v>1988</v>
      </c>
      <c r="I546">
        <v>1016.508</v>
      </c>
      <c r="J546">
        <v>944.37200000000007</v>
      </c>
      <c r="K546">
        <v>36.067999999999998</v>
      </c>
      <c r="L546" t="s">
        <v>3437</v>
      </c>
    </row>
    <row r="547" spans="1:12">
      <c r="A547" t="s">
        <v>3431</v>
      </c>
      <c r="B547" t="s">
        <v>3432</v>
      </c>
      <c r="C547">
        <v>39</v>
      </c>
      <c r="D547" t="s">
        <v>3436</v>
      </c>
      <c r="E547" t="s">
        <v>3347</v>
      </c>
      <c r="F547" t="s">
        <v>3399</v>
      </c>
      <c r="G547">
        <v>1961</v>
      </c>
      <c r="H547">
        <v>1988</v>
      </c>
      <c r="I547">
        <v>1042.4159999999999</v>
      </c>
      <c r="J547">
        <v>969.2639999999999</v>
      </c>
      <c r="K547">
        <v>36.575999999999993</v>
      </c>
      <c r="L547" t="s">
        <v>3437</v>
      </c>
    </row>
    <row r="548" spans="1:12">
      <c r="A548" t="s">
        <v>3431</v>
      </c>
      <c r="B548" t="s">
        <v>3432</v>
      </c>
      <c r="C548">
        <v>40</v>
      </c>
      <c r="D548" t="s">
        <v>3436</v>
      </c>
      <c r="E548" t="s">
        <v>3347</v>
      </c>
      <c r="F548" t="s">
        <v>3399</v>
      </c>
      <c r="G548">
        <v>1961</v>
      </c>
      <c r="H548">
        <v>1988</v>
      </c>
      <c r="I548">
        <v>1068.3240000000001</v>
      </c>
      <c r="J548">
        <v>994.15600000000006</v>
      </c>
      <c r="K548">
        <v>37.084000000000003</v>
      </c>
      <c r="L548" t="s">
        <v>3437</v>
      </c>
    </row>
    <row r="549" spans="1:12">
      <c r="A549" t="s">
        <v>3431</v>
      </c>
      <c r="B549" t="s">
        <v>3432</v>
      </c>
      <c r="C549">
        <v>42</v>
      </c>
      <c r="D549" t="s">
        <v>3436</v>
      </c>
      <c r="E549" t="s">
        <v>3347</v>
      </c>
      <c r="F549" t="s">
        <v>3399</v>
      </c>
      <c r="G549">
        <v>1961</v>
      </c>
      <c r="H549">
        <v>1988</v>
      </c>
      <c r="I549">
        <v>1120.6479999999999</v>
      </c>
      <c r="J549">
        <v>1044.4480000000001</v>
      </c>
      <c r="K549">
        <v>38.1</v>
      </c>
      <c r="L549" t="s">
        <v>3437</v>
      </c>
    </row>
    <row r="550" spans="1:12">
      <c r="A550" t="s">
        <v>3431</v>
      </c>
      <c r="B550" t="s">
        <v>3432</v>
      </c>
      <c r="C550">
        <v>44</v>
      </c>
      <c r="D550" t="s">
        <v>3436</v>
      </c>
      <c r="E550" t="s">
        <v>3347</v>
      </c>
      <c r="F550" t="s">
        <v>3399</v>
      </c>
      <c r="G550">
        <v>1961</v>
      </c>
      <c r="H550">
        <v>1988</v>
      </c>
      <c r="I550">
        <v>1172.4639999999999</v>
      </c>
      <c r="J550">
        <v>1094.74</v>
      </c>
      <c r="K550">
        <v>38.862000000000002</v>
      </c>
      <c r="L550" t="s">
        <v>3437</v>
      </c>
    </row>
    <row r="551" spans="1:12">
      <c r="A551" t="s">
        <v>3431</v>
      </c>
      <c r="B551" t="s">
        <v>3432</v>
      </c>
      <c r="C551">
        <v>45</v>
      </c>
      <c r="D551" t="s">
        <v>3436</v>
      </c>
      <c r="E551" t="s">
        <v>3347</v>
      </c>
      <c r="F551" t="s">
        <v>3399</v>
      </c>
      <c r="G551">
        <v>1961</v>
      </c>
      <c r="H551">
        <v>1988</v>
      </c>
      <c r="I551">
        <v>1198.3720000000001</v>
      </c>
      <c r="J551">
        <v>1119.6320000000001</v>
      </c>
      <c r="K551">
        <v>39.369999999999997</v>
      </c>
      <c r="L551" t="s">
        <v>3437</v>
      </c>
    </row>
    <row r="552" spans="1:12">
      <c r="A552" t="s">
        <v>3431</v>
      </c>
      <c r="B552" t="s">
        <v>3432</v>
      </c>
      <c r="C552">
        <v>46</v>
      </c>
      <c r="D552" t="s">
        <v>3436</v>
      </c>
      <c r="E552" t="s">
        <v>3347</v>
      </c>
      <c r="F552" t="s">
        <v>3399</v>
      </c>
      <c r="G552">
        <v>1961</v>
      </c>
      <c r="H552">
        <v>1988</v>
      </c>
      <c r="I552">
        <v>1224.788</v>
      </c>
      <c r="J552">
        <v>1145.0319999999999</v>
      </c>
      <c r="K552">
        <v>39.878</v>
      </c>
      <c r="L552" t="s">
        <v>3437</v>
      </c>
    </row>
    <row r="553" spans="1:12">
      <c r="A553" t="s">
        <v>3431</v>
      </c>
      <c r="B553" t="s">
        <v>3432</v>
      </c>
      <c r="C553">
        <v>48</v>
      </c>
      <c r="D553" t="s">
        <v>3436</v>
      </c>
      <c r="E553" t="s">
        <v>3347</v>
      </c>
      <c r="F553" t="s">
        <v>3399</v>
      </c>
      <c r="G553">
        <v>1961</v>
      </c>
      <c r="H553">
        <v>1988</v>
      </c>
      <c r="I553">
        <v>1276.604</v>
      </c>
      <c r="J553">
        <v>1195.3240000000001</v>
      </c>
      <c r="K553">
        <v>40.64</v>
      </c>
      <c r="L553" t="s">
        <v>3437</v>
      </c>
    </row>
    <row r="556" spans="1:12">
      <c r="A556" t="s">
        <v>3438</v>
      </c>
    </row>
    <row r="557" spans="1:12">
      <c r="A557" t="s">
        <v>3439</v>
      </c>
    </row>
    <row r="559" spans="1:12">
      <c r="A559" t="s">
        <v>5</v>
      </c>
    </row>
    <row r="560" spans="1:12">
      <c r="B560" t="s">
        <v>3440</v>
      </c>
    </row>
    <row r="561" spans="2:17">
      <c r="B561" t="s">
        <v>3441</v>
      </c>
      <c r="F561" t="s">
        <v>3388</v>
      </c>
      <c r="J561" t="s">
        <v>3389</v>
      </c>
      <c r="N561" t="s">
        <v>3442</v>
      </c>
    </row>
    <row r="562" spans="2:17">
      <c r="B562" t="s">
        <v>3391</v>
      </c>
      <c r="C562" t="s">
        <v>3443</v>
      </c>
      <c r="D562" t="s">
        <v>3444</v>
      </c>
      <c r="E562" t="s">
        <v>3445</v>
      </c>
      <c r="H562" t="s">
        <v>3446</v>
      </c>
      <c r="I562" t="s">
        <v>3447</v>
      </c>
      <c r="L562" t="s">
        <v>3447</v>
      </c>
      <c r="M562" t="s">
        <v>3446</v>
      </c>
      <c r="P562" t="s">
        <v>3447</v>
      </c>
      <c r="Q562" t="s">
        <v>3446</v>
      </c>
    </row>
    <row r="563" spans="2:17">
      <c r="B563">
        <v>3</v>
      </c>
      <c r="C563">
        <v>3.76</v>
      </c>
      <c r="D563">
        <v>3.68</v>
      </c>
      <c r="E563">
        <v>3.84</v>
      </c>
      <c r="F563" t="s">
        <v>3342</v>
      </c>
      <c r="G563" t="s">
        <v>3434</v>
      </c>
      <c r="H563">
        <v>0.28999999999999998</v>
      </c>
      <c r="I563">
        <v>0.2455</v>
      </c>
      <c r="J563" t="s">
        <v>3345</v>
      </c>
      <c r="K563" t="s">
        <v>3398</v>
      </c>
      <c r="L563">
        <v>0.2455</v>
      </c>
      <c r="M563">
        <v>0.28999999999999998</v>
      </c>
      <c r="N563" t="s">
        <v>3347</v>
      </c>
      <c r="O563" t="s">
        <v>3399</v>
      </c>
      <c r="P563">
        <v>0.255</v>
      </c>
      <c r="Q563">
        <v>0.3</v>
      </c>
    </row>
    <row r="564" spans="2:17">
      <c r="B564">
        <v>4</v>
      </c>
      <c r="C564">
        <v>4.8</v>
      </c>
      <c r="D564">
        <v>4.72</v>
      </c>
      <c r="E564">
        <v>4.88</v>
      </c>
      <c r="F564" t="s">
        <v>3342</v>
      </c>
      <c r="G564" t="s">
        <v>3434</v>
      </c>
      <c r="H564">
        <v>0.3</v>
      </c>
      <c r="I564">
        <v>0.255</v>
      </c>
      <c r="J564" t="s">
        <v>3345</v>
      </c>
      <c r="K564" t="s">
        <v>3398</v>
      </c>
      <c r="L564">
        <v>0.26450000000000001</v>
      </c>
      <c r="M564">
        <v>0.31</v>
      </c>
      <c r="N564" t="s">
        <v>3347</v>
      </c>
      <c r="O564" t="s">
        <v>3399</v>
      </c>
      <c r="P564">
        <v>0.30249999999999999</v>
      </c>
      <c r="Q564">
        <v>0.35</v>
      </c>
    </row>
    <row r="565" spans="2:17">
      <c r="B565">
        <v>5</v>
      </c>
      <c r="C565">
        <v>5.9</v>
      </c>
      <c r="D565">
        <v>5.82</v>
      </c>
      <c r="E565">
        <v>5.98</v>
      </c>
      <c r="F565" t="s">
        <v>3342</v>
      </c>
      <c r="G565" t="s">
        <v>3434</v>
      </c>
      <c r="H565">
        <v>0.31</v>
      </c>
      <c r="I565">
        <v>0.26450000000000001</v>
      </c>
      <c r="J565" t="s">
        <v>3345</v>
      </c>
      <c r="K565" t="s">
        <v>3398</v>
      </c>
      <c r="L565">
        <v>0.29299999999999998</v>
      </c>
      <c r="M565">
        <v>0.34</v>
      </c>
      <c r="N565" t="s">
        <v>3347</v>
      </c>
      <c r="O565" t="s">
        <v>3399</v>
      </c>
      <c r="P565">
        <v>0.34050000000000002</v>
      </c>
      <c r="Q565">
        <v>0.39</v>
      </c>
    </row>
    <row r="566" spans="2:17">
      <c r="B566">
        <v>6</v>
      </c>
      <c r="C566">
        <v>6.98</v>
      </c>
      <c r="D566">
        <v>6.9</v>
      </c>
      <c r="E566">
        <v>7.06</v>
      </c>
      <c r="F566" t="s">
        <v>3342</v>
      </c>
      <c r="G566" t="s">
        <v>3434</v>
      </c>
      <c r="H566">
        <v>0.33</v>
      </c>
      <c r="I566">
        <v>0.28349999999999997</v>
      </c>
      <c r="J566" t="s">
        <v>3345</v>
      </c>
      <c r="K566" t="s">
        <v>3398</v>
      </c>
      <c r="L566">
        <v>0.32150000000000001</v>
      </c>
      <c r="M566">
        <v>0.37</v>
      </c>
      <c r="N566" t="s">
        <v>3347</v>
      </c>
      <c r="O566" t="s">
        <v>3399</v>
      </c>
      <c r="P566">
        <v>0.3785</v>
      </c>
      <c r="Q566">
        <v>0.43</v>
      </c>
    </row>
    <row r="567" spans="2:17">
      <c r="B567">
        <v>7</v>
      </c>
      <c r="C567">
        <v>8.06</v>
      </c>
      <c r="D567">
        <v>7.98</v>
      </c>
      <c r="E567">
        <v>8.14</v>
      </c>
      <c r="F567" t="s">
        <v>3342</v>
      </c>
      <c r="G567" t="s">
        <v>3434</v>
      </c>
      <c r="H567">
        <v>0.34</v>
      </c>
      <c r="I567">
        <v>0.29299999999999998</v>
      </c>
      <c r="J567" t="s">
        <v>3345</v>
      </c>
      <c r="K567" t="s">
        <v>3398</v>
      </c>
      <c r="L567">
        <v>0.35</v>
      </c>
      <c r="M567">
        <v>0.4</v>
      </c>
      <c r="N567" t="s">
        <v>3347</v>
      </c>
      <c r="O567" t="s">
        <v>3399</v>
      </c>
      <c r="P567">
        <v>0.40699999999999997</v>
      </c>
      <c r="Q567">
        <v>0.46</v>
      </c>
    </row>
    <row r="568" spans="2:17">
      <c r="B568">
        <v>8</v>
      </c>
      <c r="C568">
        <v>9.14</v>
      </c>
      <c r="D568">
        <v>9.06</v>
      </c>
      <c r="E568">
        <v>9.2200000000000006</v>
      </c>
      <c r="F568" t="s">
        <v>3342</v>
      </c>
      <c r="G568" t="s">
        <v>3434</v>
      </c>
      <c r="H568">
        <v>0.36</v>
      </c>
      <c r="I568">
        <v>0.312</v>
      </c>
      <c r="J568" t="s">
        <v>3345</v>
      </c>
      <c r="K568" t="s">
        <v>3398</v>
      </c>
      <c r="L568">
        <v>0.3785</v>
      </c>
      <c r="M568">
        <v>0.43</v>
      </c>
      <c r="N568" t="s">
        <v>3347</v>
      </c>
      <c r="O568" t="s">
        <v>3399</v>
      </c>
      <c r="P568">
        <v>0.43550000000000011</v>
      </c>
      <c r="Q568">
        <v>0.49</v>
      </c>
    </row>
    <row r="569" spans="2:17">
      <c r="B569">
        <v>9</v>
      </c>
      <c r="C569">
        <v>10.199999999999999</v>
      </c>
      <c r="D569">
        <v>10.119999999999999</v>
      </c>
      <c r="E569">
        <v>10.28</v>
      </c>
      <c r="F569" t="s">
        <v>3342</v>
      </c>
      <c r="G569" t="s">
        <v>3434</v>
      </c>
      <c r="H569">
        <v>0.37</v>
      </c>
      <c r="I569">
        <v>0.32150000000000001</v>
      </c>
      <c r="J569" t="s">
        <v>3345</v>
      </c>
      <c r="K569" t="s">
        <v>3398</v>
      </c>
      <c r="L569">
        <v>0.39750000000000002</v>
      </c>
      <c r="M569">
        <v>0.45</v>
      </c>
      <c r="N569" t="s">
        <v>3347</v>
      </c>
      <c r="O569" t="s">
        <v>3399</v>
      </c>
      <c r="P569">
        <v>0.46400000000000002</v>
      </c>
      <c r="Q569">
        <v>0.52</v>
      </c>
    </row>
    <row r="570" spans="2:17">
      <c r="B570">
        <v>10</v>
      </c>
      <c r="C570">
        <v>11.26</v>
      </c>
      <c r="D570">
        <v>11.18</v>
      </c>
      <c r="E570">
        <v>11.34</v>
      </c>
      <c r="F570" t="s">
        <v>3342</v>
      </c>
      <c r="G570" t="s">
        <v>3434</v>
      </c>
      <c r="H570">
        <v>0.39</v>
      </c>
      <c r="I570">
        <v>0.34050000000000002</v>
      </c>
      <c r="J570" t="s">
        <v>3345</v>
      </c>
      <c r="K570" t="s">
        <v>3398</v>
      </c>
      <c r="L570">
        <v>0.41649999999999998</v>
      </c>
      <c r="M570">
        <v>0.47</v>
      </c>
      <c r="N570" t="s">
        <v>3347</v>
      </c>
      <c r="O570" t="s">
        <v>3399</v>
      </c>
      <c r="P570">
        <v>0.49249999999999999</v>
      </c>
      <c r="Q570">
        <v>0.55000000000000004</v>
      </c>
    </row>
    <row r="571" spans="2:17">
      <c r="B571">
        <v>12</v>
      </c>
      <c r="C571">
        <v>13.14</v>
      </c>
      <c r="D571">
        <v>13.06</v>
      </c>
      <c r="E571">
        <v>13.22</v>
      </c>
      <c r="F571" t="s">
        <v>3342</v>
      </c>
      <c r="G571" t="s">
        <v>3434</v>
      </c>
      <c r="H571">
        <v>0.43</v>
      </c>
      <c r="I571">
        <v>0.3785</v>
      </c>
      <c r="J571" t="s">
        <v>3345</v>
      </c>
      <c r="K571" t="s">
        <v>3398</v>
      </c>
      <c r="L571">
        <v>0.46400000000000002</v>
      </c>
      <c r="M571">
        <v>0.52</v>
      </c>
      <c r="N571" t="s">
        <v>3347</v>
      </c>
      <c r="O571" t="s">
        <v>3399</v>
      </c>
      <c r="P571">
        <v>0.54</v>
      </c>
      <c r="Q571">
        <v>0.6</v>
      </c>
    </row>
    <row r="572" spans="2:17">
      <c r="B572">
        <v>14</v>
      </c>
      <c r="C572">
        <v>15.22</v>
      </c>
      <c r="D572">
        <v>15.14</v>
      </c>
      <c r="E572">
        <v>15.3</v>
      </c>
      <c r="F572" t="s">
        <v>3342</v>
      </c>
      <c r="G572" t="s">
        <v>3434</v>
      </c>
      <c r="H572">
        <v>0.46</v>
      </c>
      <c r="I572">
        <v>0.40699999999999997</v>
      </c>
      <c r="J572" t="s">
        <v>3345</v>
      </c>
      <c r="K572" t="s">
        <v>3398</v>
      </c>
      <c r="L572">
        <v>0.502</v>
      </c>
      <c r="M572">
        <v>0.56000000000000005</v>
      </c>
      <c r="N572" t="s">
        <v>3347</v>
      </c>
      <c r="O572" t="s">
        <v>3399</v>
      </c>
      <c r="P572">
        <v>0.58750000000000002</v>
      </c>
      <c r="Q572">
        <v>0.65</v>
      </c>
    </row>
    <row r="573" spans="2:17">
      <c r="B573">
        <v>15</v>
      </c>
      <c r="C573">
        <v>16.260000000000002</v>
      </c>
      <c r="D573">
        <v>16.18</v>
      </c>
      <c r="E573">
        <v>16.34</v>
      </c>
      <c r="F573" t="s">
        <v>3342</v>
      </c>
      <c r="G573" t="s">
        <v>3434</v>
      </c>
      <c r="H573">
        <v>0.47</v>
      </c>
      <c r="I573">
        <v>0.41649999999999998</v>
      </c>
      <c r="J573" t="s">
        <v>3345</v>
      </c>
      <c r="K573" t="s">
        <v>3398</v>
      </c>
      <c r="L573">
        <v>0.52099999999999991</v>
      </c>
      <c r="M573">
        <v>0.57999999999999996</v>
      </c>
      <c r="N573" t="s">
        <v>3347</v>
      </c>
      <c r="O573" t="s">
        <v>3399</v>
      </c>
      <c r="P573">
        <v>0.60650000000000004</v>
      </c>
      <c r="Q573">
        <v>0.67</v>
      </c>
    </row>
    <row r="574" spans="2:17">
      <c r="B574">
        <v>16</v>
      </c>
      <c r="C574">
        <v>17.3</v>
      </c>
      <c r="D574">
        <v>17.22</v>
      </c>
      <c r="E574">
        <v>17.38</v>
      </c>
      <c r="F574" t="s">
        <v>3342</v>
      </c>
      <c r="G574" t="s">
        <v>3434</v>
      </c>
      <c r="H574">
        <v>0.49</v>
      </c>
      <c r="I574">
        <v>0.43550000000000011</v>
      </c>
      <c r="J574" t="s">
        <v>3345</v>
      </c>
      <c r="K574" t="s">
        <v>3398</v>
      </c>
      <c r="L574">
        <v>0.54</v>
      </c>
      <c r="M574">
        <v>0.6</v>
      </c>
      <c r="N574" t="s">
        <v>3347</v>
      </c>
      <c r="O574" t="s">
        <v>3399</v>
      </c>
      <c r="P574">
        <v>0.62549999999999994</v>
      </c>
      <c r="Q574">
        <v>0.69</v>
      </c>
    </row>
    <row r="575" spans="2:17">
      <c r="B575">
        <v>18</v>
      </c>
      <c r="C575">
        <v>19.38</v>
      </c>
      <c r="D575">
        <v>19.3</v>
      </c>
      <c r="E575">
        <v>19.46</v>
      </c>
      <c r="F575" t="s">
        <v>3342</v>
      </c>
      <c r="G575" t="s">
        <v>3434</v>
      </c>
      <c r="H575">
        <v>0.52</v>
      </c>
      <c r="I575">
        <v>0.46400000000000002</v>
      </c>
      <c r="J575" t="s">
        <v>3345</v>
      </c>
      <c r="K575" t="s">
        <v>3398</v>
      </c>
      <c r="L575">
        <v>0.57800000000000007</v>
      </c>
      <c r="M575">
        <v>0.64</v>
      </c>
      <c r="N575" t="s">
        <v>3347</v>
      </c>
      <c r="O575" t="s">
        <v>3399</v>
      </c>
      <c r="P575">
        <v>0.67300000000000004</v>
      </c>
      <c r="Q575">
        <v>0.74</v>
      </c>
    </row>
    <row r="576" spans="2:17">
      <c r="B576">
        <v>20</v>
      </c>
      <c r="C576">
        <v>21.46</v>
      </c>
      <c r="D576">
        <v>21.38</v>
      </c>
      <c r="E576">
        <v>21.54</v>
      </c>
      <c r="F576" t="s">
        <v>3342</v>
      </c>
      <c r="G576" t="s">
        <v>3434</v>
      </c>
      <c r="H576">
        <v>0.55000000000000004</v>
      </c>
      <c r="I576">
        <v>0.49249999999999999</v>
      </c>
      <c r="J576" t="s">
        <v>3345</v>
      </c>
      <c r="K576" t="s">
        <v>3398</v>
      </c>
      <c r="L576">
        <v>0.60650000000000004</v>
      </c>
      <c r="M576">
        <v>0.67</v>
      </c>
      <c r="N576" t="s">
        <v>3347</v>
      </c>
      <c r="O576" t="s">
        <v>3399</v>
      </c>
      <c r="P576">
        <v>0.7014999999999999</v>
      </c>
      <c r="Q576">
        <v>0.77</v>
      </c>
    </row>
    <row r="577" spans="1:17">
      <c r="B577">
        <v>21</v>
      </c>
      <c r="C577">
        <v>22.5</v>
      </c>
      <c r="D577">
        <v>22.42</v>
      </c>
      <c r="E577">
        <v>22.58</v>
      </c>
      <c r="F577" t="s">
        <v>3342</v>
      </c>
      <c r="G577" t="s">
        <v>3434</v>
      </c>
      <c r="H577">
        <v>0.56000000000000005</v>
      </c>
      <c r="I577">
        <v>0.502</v>
      </c>
      <c r="J577" t="s">
        <v>3345</v>
      </c>
      <c r="K577" t="s">
        <v>3398</v>
      </c>
      <c r="L577">
        <v>0.62549999999999994</v>
      </c>
      <c r="M577">
        <v>0.69</v>
      </c>
      <c r="N577" t="s">
        <v>3347</v>
      </c>
      <c r="O577" t="s">
        <v>3399</v>
      </c>
      <c r="P577">
        <v>0.73</v>
      </c>
      <c r="Q577">
        <v>0.8</v>
      </c>
    </row>
    <row r="578" spans="1:17">
      <c r="B578">
        <v>22</v>
      </c>
      <c r="C578">
        <v>23.54</v>
      </c>
      <c r="D578">
        <v>23.46</v>
      </c>
      <c r="E578">
        <v>23.62</v>
      </c>
      <c r="F578" t="s">
        <v>3342</v>
      </c>
      <c r="G578" t="s">
        <v>3434</v>
      </c>
      <c r="H578">
        <v>0.57999999999999996</v>
      </c>
      <c r="I578">
        <v>0.52099999999999991</v>
      </c>
      <c r="J578" t="s">
        <v>3345</v>
      </c>
      <c r="K578" t="s">
        <v>3398</v>
      </c>
      <c r="L578">
        <v>0.63500000000000001</v>
      </c>
      <c r="M578">
        <v>0.7</v>
      </c>
      <c r="N578" t="s">
        <v>3347</v>
      </c>
      <c r="O578" t="s">
        <v>3399</v>
      </c>
      <c r="P578">
        <v>0.73950000000000005</v>
      </c>
      <c r="Q578">
        <v>0.81</v>
      </c>
    </row>
    <row r="579" spans="1:17">
      <c r="B579">
        <v>24</v>
      </c>
      <c r="C579">
        <v>25.6</v>
      </c>
      <c r="D579">
        <v>25.52</v>
      </c>
      <c r="E579">
        <v>25.68</v>
      </c>
      <c r="F579" t="s">
        <v>3342</v>
      </c>
      <c r="G579" t="s">
        <v>3434</v>
      </c>
      <c r="H579">
        <v>0.6</v>
      </c>
      <c r="I579">
        <v>0.54</v>
      </c>
      <c r="J579" t="s">
        <v>3345</v>
      </c>
      <c r="K579" t="s">
        <v>3398</v>
      </c>
      <c r="L579">
        <v>0.67300000000000004</v>
      </c>
      <c r="M579">
        <v>0.74</v>
      </c>
      <c r="N579" t="s">
        <v>3347</v>
      </c>
      <c r="O579" t="s">
        <v>3399</v>
      </c>
      <c r="P579">
        <v>0.77749999999999997</v>
      </c>
      <c r="Q579">
        <v>0.85</v>
      </c>
    </row>
    <row r="580" spans="1:17">
      <c r="B580">
        <v>27</v>
      </c>
      <c r="C580">
        <v>28.7</v>
      </c>
      <c r="D580">
        <v>28.62</v>
      </c>
      <c r="E580">
        <v>28.78</v>
      </c>
      <c r="F580" t="s">
        <v>3342</v>
      </c>
      <c r="G580" t="s">
        <v>3434</v>
      </c>
      <c r="H580">
        <v>0.68</v>
      </c>
      <c r="I580">
        <v>0.6160000000000001</v>
      </c>
      <c r="J580" t="s">
        <v>3345</v>
      </c>
      <c r="K580" t="s">
        <v>3398</v>
      </c>
      <c r="L580">
        <v>0.75849999999999995</v>
      </c>
      <c r="M580">
        <v>0.83</v>
      </c>
      <c r="N580" t="s">
        <v>3347</v>
      </c>
      <c r="O580" t="s">
        <v>3399</v>
      </c>
      <c r="P580">
        <v>0.88200000000000001</v>
      </c>
      <c r="Q580">
        <v>0.96</v>
      </c>
    </row>
    <row r="582" spans="1:17">
      <c r="A582" t="s">
        <v>3400</v>
      </c>
    </row>
    <row r="583" spans="1:17">
      <c r="B583" t="s">
        <v>3440</v>
      </c>
    </row>
    <row r="584" spans="1:17">
      <c r="B584" t="s">
        <v>3441</v>
      </c>
      <c r="F584" t="s">
        <v>3388</v>
      </c>
      <c r="J584" t="s">
        <v>3389</v>
      </c>
      <c r="N584" t="s">
        <v>3442</v>
      </c>
    </row>
    <row r="585" spans="1:17">
      <c r="B585" t="s">
        <v>3391</v>
      </c>
      <c r="C585" t="s">
        <v>3392</v>
      </c>
      <c r="D585" t="s">
        <v>3393</v>
      </c>
      <c r="E585" t="s">
        <v>3394</v>
      </c>
      <c r="H585" t="s">
        <v>3396</v>
      </c>
      <c r="I585" t="s">
        <v>3395</v>
      </c>
      <c r="L585" t="s">
        <v>3395</v>
      </c>
      <c r="M585" t="s">
        <v>3396</v>
      </c>
      <c r="P585" t="s">
        <v>3395</v>
      </c>
      <c r="Q585" t="s">
        <v>3396</v>
      </c>
    </row>
    <row r="586" spans="1:17">
      <c r="B586">
        <v>3</v>
      </c>
      <c r="C586">
        <v>95.503999999999991</v>
      </c>
      <c r="D586">
        <v>93.471999999999994</v>
      </c>
      <c r="E586">
        <v>97.535999999999987</v>
      </c>
      <c r="F586" t="s">
        <v>3342</v>
      </c>
      <c r="G586" t="s">
        <v>3434</v>
      </c>
      <c r="H586">
        <v>7.3659999999999988</v>
      </c>
      <c r="I586">
        <v>6.2356999999999996</v>
      </c>
      <c r="J586" t="s">
        <v>3345</v>
      </c>
      <c r="K586" t="s">
        <v>3398</v>
      </c>
      <c r="L586">
        <v>6.2356999999999996</v>
      </c>
      <c r="M586">
        <v>7.3659999999999988</v>
      </c>
      <c r="N586" t="s">
        <v>3347</v>
      </c>
      <c r="O586" t="s">
        <v>3399</v>
      </c>
      <c r="P586">
        <v>6.4769999999999994</v>
      </c>
      <c r="Q586">
        <v>7.62</v>
      </c>
    </row>
    <row r="587" spans="1:17">
      <c r="B587">
        <v>4</v>
      </c>
      <c r="C587">
        <v>121.92</v>
      </c>
      <c r="D587">
        <v>119.88800000000001</v>
      </c>
      <c r="E587">
        <v>123.952</v>
      </c>
      <c r="F587" t="s">
        <v>3342</v>
      </c>
      <c r="G587" t="s">
        <v>3434</v>
      </c>
      <c r="H587">
        <v>7.62</v>
      </c>
      <c r="I587">
        <v>6.4769999999999994</v>
      </c>
      <c r="J587" t="s">
        <v>3345</v>
      </c>
      <c r="K587" t="s">
        <v>3398</v>
      </c>
      <c r="L587">
        <v>6.7183000000000002</v>
      </c>
      <c r="M587">
        <v>7.8739999999999997</v>
      </c>
      <c r="N587" t="s">
        <v>3347</v>
      </c>
      <c r="O587" t="s">
        <v>3399</v>
      </c>
      <c r="P587">
        <v>7.6835000000000004</v>
      </c>
      <c r="Q587">
        <v>8.89</v>
      </c>
    </row>
    <row r="588" spans="1:17">
      <c r="B588">
        <v>5</v>
      </c>
      <c r="C588">
        <v>149.86000000000001</v>
      </c>
      <c r="D588">
        <v>147.828</v>
      </c>
      <c r="E588">
        <v>151.892</v>
      </c>
      <c r="F588" t="s">
        <v>3342</v>
      </c>
      <c r="G588" t="s">
        <v>3434</v>
      </c>
      <c r="H588">
        <v>7.8739999999999997</v>
      </c>
      <c r="I588">
        <v>6.7183000000000002</v>
      </c>
      <c r="J588" t="s">
        <v>3345</v>
      </c>
      <c r="K588" t="s">
        <v>3398</v>
      </c>
      <c r="L588">
        <v>7.4422000000000006</v>
      </c>
      <c r="M588">
        <v>8.636000000000001</v>
      </c>
      <c r="N588" t="s">
        <v>3347</v>
      </c>
      <c r="O588" t="s">
        <v>3399</v>
      </c>
      <c r="P588">
        <v>8.6486999999999998</v>
      </c>
      <c r="Q588">
        <v>9.9060000000000006</v>
      </c>
    </row>
    <row r="589" spans="1:17">
      <c r="B589">
        <v>6</v>
      </c>
      <c r="C589">
        <v>177.292</v>
      </c>
      <c r="D589">
        <v>175.26</v>
      </c>
      <c r="E589">
        <v>179.32400000000001</v>
      </c>
      <c r="F589" t="s">
        <v>3342</v>
      </c>
      <c r="G589" t="s">
        <v>3434</v>
      </c>
      <c r="H589">
        <v>8.3819999999999997</v>
      </c>
      <c r="I589">
        <v>7.2009000000000007</v>
      </c>
      <c r="J589" t="s">
        <v>3345</v>
      </c>
      <c r="K589" t="s">
        <v>3398</v>
      </c>
      <c r="L589">
        <v>8.1661000000000001</v>
      </c>
      <c r="M589">
        <v>9.3979999999999997</v>
      </c>
      <c r="N589" t="s">
        <v>3347</v>
      </c>
      <c r="O589" t="s">
        <v>3399</v>
      </c>
      <c r="P589">
        <v>9.6138999999999992</v>
      </c>
      <c r="Q589">
        <v>10.922000000000001</v>
      </c>
    </row>
    <row r="590" spans="1:17">
      <c r="B590">
        <v>7</v>
      </c>
      <c r="C590">
        <v>204.72399999999999</v>
      </c>
      <c r="D590">
        <v>202.69200000000001</v>
      </c>
      <c r="E590">
        <v>206.756</v>
      </c>
      <c r="F590" t="s">
        <v>3342</v>
      </c>
      <c r="G590" t="s">
        <v>3434</v>
      </c>
      <c r="H590">
        <v>8.636000000000001</v>
      </c>
      <c r="I590">
        <v>7.4422000000000006</v>
      </c>
      <c r="J590" t="s">
        <v>3345</v>
      </c>
      <c r="K590" t="s">
        <v>3398</v>
      </c>
      <c r="L590">
        <v>8.89</v>
      </c>
      <c r="M590">
        <v>10.16</v>
      </c>
      <c r="N590" t="s">
        <v>3347</v>
      </c>
      <c r="O590" t="s">
        <v>3399</v>
      </c>
      <c r="P590">
        <v>10.3378</v>
      </c>
      <c r="Q590">
        <v>11.683999999999999</v>
      </c>
    </row>
    <row r="591" spans="1:17">
      <c r="B591">
        <v>8</v>
      </c>
      <c r="C591">
        <v>232.15600000000001</v>
      </c>
      <c r="D591">
        <v>230.124</v>
      </c>
      <c r="E591">
        <v>234.18799999999999</v>
      </c>
      <c r="F591" t="s">
        <v>3342</v>
      </c>
      <c r="G591" t="s">
        <v>3434</v>
      </c>
      <c r="H591">
        <v>9.1439999999999984</v>
      </c>
      <c r="I591">
        <v>7.9247999999999994</v>
      </c>
      <c r="J591" t="s">
        <v>3345</v>
      </c>
      <c r="K591" t="s">
        <v>3398</v>
      </c>
      <c r="L591">
        <v>9.6138999999999992</v>
      </c>
      <c r="M591">
        <v>10.922000000000001</v>
      </c>
      <c r="N591" t="s">
        <v>3347</v>
      </c>
      <c r="O591" t="s">
        <v>3399</v>
      </c>
      <c r="P591">
        <v>11.0617</v>
      </c>
      <c r="Q591">
        <v>12.446</v>
      </c>
    </row>
    <row r="592" spans="1:17">
      <c r="B592">
        <v>9</v>
      </c>
      <c r="C592">
        <v>259.08</v>
      </c>
      <c r="D592">
        <v>257.048</v>
      </c>
      <c r="E592">
        <v>261.11200000000002</v>
      </c>
      <c r="F592" t="s">
        <v>3342</v>
      </c>
      <c r="G592" t="s">
        <v>3434</v>
      </c>
      <c r="H592">
        <v>9.3979999999999997</v>
      </c>
      <c r="I592">
        <v>8.1661000000000001</v>
      </c>
      <c r="J592" t="s">
        <v>3345</v>
      </c>
      <c r="K592" t="s">
        <v>3398</v>
      </c>
      <c r="L592">
        <v>10.096500000000001</v>
      </c>
      <c r="M592">
        <v>11.43</v>
      </c>
      <c r="N592" t="s">
        <v>3347</v>
      </c>
      <c r="O592" t="s">
        <v>3399</v>
      </c>
      <c r="P592">
        <v>11.785600000000001</v>
      </c>
      <c r="Q592">
        <v>13.208</v>
      </c>
    </row>
    <row r="593" spans="2:17">
      <c r="B593">
        <v>10</v>
      </c>
      <c r="C593">
        <v>286.00400000000002</v>
      </c>
      <c r="D593">
        <v>283.97199999999998</v>
      </c>
      <c r="E593">
        <v>288.03599999999989</v>
      </c>
      <c r="F593" t="s">
        <v>3342</v>
      </c>
      <c r="G593" t="s">
        <v>3434</v>
      </c>
      <c r="H593">
        <v>9.9060000000000006</v>
      </c>
      <c r="I593">
        <v>8.6486999999999998</v>
      </c>
      <c r="J593" t="s">
        <v>3345</v>
      </c>
      <c r="K593" t="s">
        <v>3398</v>
      </c>
      <c r="L593">
        <v>10.5791</v>
      </c>
      <c r="M593">
        <v>11.938000000000001</v>
      </c>
      <c r="N593" t="s">
        <v>3347</v>
      </c>
      <c r="O593" t="s">
        <v>3399</v>
      </c>
      <c r="P593">
        <v>12.509499999999999</v>
      </c>
      <c r="Q593">
        <v>13.97</v>
      </c>
    </row>
    <row r="594" spans="2:17">
      <c r="B594">
        <v>12</v>
      </c>
      <c r="C594">
        <v>333.75599999999997</v>
      </c>
      <c r="D594">
        <v>331.72399999999999</v>
      </c>
      <c r="E594">
        <v>335.78800000000001</v>
      </c>
      <c r="F594" t="s">
        <v>3342</v>
      </c>
      <c r="G594" t="s">
        <v>3434</v>
      </c>
      <c r="H594">
        <v>10.922000000000001</v>
      </c>
      <c r="I594">
        <v>9.6138999999999992</v>
      </c>
      <c r="J594" t="s">
        <v>3345</v>
      </c>
      <c r="K594" t="s">
        <v>3398</v>
      </c>
      <c r="L594">
        <v>11.785600000000001</v>
      </c>
      <c r="M594">
        <v>13.208</v>
      </c>
      <c r="N594" t="s">
        <v>3347</v>
      </c>
      <c r="O594" t="s">
        <v>3399</v>
      </c>
      <c r="P594">
        <v>13.715999999999999</v>
      </c>
      <c r="Q594">
        <v>15.24</v>
      </c>
    </row>
    <row r="595" spans="2:17">
      <c r="B595">
        <v>14</v>
      </c>
      <c r="C595">
        <v>386.58800000000002</v>
      </c>
      <c r="D595">
        <v>384.55599999999998</v>
      </c>
      <c r="E595">
        <v>388.62</v>
      </c>
      <c r="F595" t="s">
        <v>3342</v>
      </c>
      <c r="G595" t="s">
        <v>3434</v>
      </c>
      <c r="H595">
        <v>11.683999999999999</v>
      </c>
      <c r="I595">
        <v>10.3378</v>
      </c>
      <c r="J595" t="s">
        <v>3345</v>
      </c>
      <c r="K595" t="s">
        <v>3398</v>
      </c>
      <c r="L595">
        <v>12.7508</v>
      </c>
      <c r="M595">
        <v>14.224</v>
      </c>
      <c r="N595" t="s">
        <v>3347</v>
      </c>
      <c r="O595" t="s">
        <v>3399</v>
      </c>
      <c r="P595">
        <v>14.922499999999999</v>
      </c>
      <c r="Q595">
        <v>16.510000000000002</v>
      </c>
    </row>
    <row r="596" spans="2:17">
      <c r="B596">
        <v>15</v>
      </c>
      <c r="C596">
        <v>413.00400000000002</v>
      </c>
      <c r="D596">
        <v>410.97199999999998</v>
      </c>
      <c r="E596">
        <v>415.036</v>
      </c>
      <c r="F596" t="s">
        <v>3342</v>
      </c>
      <c r="G596" t="s">
        <v>3434</v>
      </c>
      <c r="H596">
        <v>11.938000000000001</v>
      </c>
      <c r="I596">
        <v>10.5791</v>
      </c>
      <c r="J596" t="s">
        <v>3345</v>
      </c>
      <c r="K596" t="s">
        <v>3398</v>
      </c>
      <c r="L596">
        <v>13.2334</v>
      </c>
      <c r="M596">
        <v>14.731999999999999</v>
      </c>
      <c r="N596" t="s">
        <v>3347</v>
      </c>
      <c r="O596" t="s">
        <v>3399</v>
      </c>
      <c r="P596">
        <v>15.405099999999999</v>
      </c>
      <c r="Q596">
        <v>17.018000000000001</v>
      </c>
    </row>
    <row r="597" spans="2:17">
      <c r="B597">
        <v>16</v>
      </c>
      <c r="C597">
        <v>439.42</v>
      </c>
      <c r="D597">
        <v>437.38799999999998</v>
      </c>
      <c r="E597">
        <v>441.452</v>
      </c>
      <c r="F597" t="s">
        <v>3342</v>
      </c>
      <c r="G597" t="s">
        <v>3434</v>
      </c>
      <c r="H597">
        <v>12.446</v>
      </c>
      <c r="I597">
        <v>11.0617</v>
      </c>
      <c r="J597" t="s">
        <v>3345</v>
      </c>
      <c r="K597" t="s">
        <v>3398</v>
      </c>
      <c r="L597">
        <v>13.715999999999999</v>
      </c>
      <c r="M597">
        <v>15.24</v>
      </c>
      <c r="N597" t="s">
        <v>3347</v>
      </c>
      <c r="O597" t="s">
        <v>3399</v>
      </c>
      <c r="P597">
        <v>15.887700000000001</v>
      </c>
      <c r="Q597">
        <v>17.526</v>
      </c>
    </row>
    <row r="598" spans="2:17">
      <c r="B598">
        <v>18</v>
      </c>
      <c r="C598">
        <v>492.25200000000001</v>
      </c>
      <c r="D598">
        <v>490.22</v>
      </c>
      <c r="E598">
        <v>494.28399999999988</v>
      </c>
      <c r="F598" t="s">
        <v>3342</v>
      </c>
      <c r="G598" t="s">
        <v>3434</v>
      </c>
      <c r="H598">
        <v>13.208</v>
      </c>
      <c r="I598">
        <v>11.785600000000001</v>
      </c>
      <c r="J598" t="s">
        <v>3345</v>
      </c>
      <c r="K598" t="s">
        <v>3398</v>
      </c>
      <c r="L598">
        <v>14.6812</v>
      </c>
      <c r="M598">
        <v>16.256</v>
      </c>
      <c r="N598" t="s">
        <v>3347</v>
      </c>
      <c r="O598" t="s">
        <v>3399</v>
      </c>
      <c r="P598">
        <v>17.094200000000001</v>
      </c>
      <c r="Q598">
        <v>18.795999999999999</v>
      </c>
    </row>
    <row r="599" spans="2:17">
      <c r="B599">
        <v>20</v>
      </c>
      <c r="C599">
        <v>545.08399999999995</v>
      </c>
      <c r="D599">
        <v>543.05199999999991</v>
      </c>
      <c r="E599">
        <v>547.11599999999999</v>
      </c>
      <c r="F599" t="s">
        <v>3342</v>
      </c>
      <c r="G599" t="s">
        <v>3434</v>
      </c>
      <c r="H599">
        <v>13.97</v>
      </c>
      <c r="I599">
        <v>12.509499999999999</v>
      </c>
      <c r="J599" t="s">
        <v>3345</v>
      </c>
      <c r="K599" t="s">
        <v>3398</v>
      </c>
      <c r="L599">
        <v>15.405099999999999</v>
      </c>
      <c r="M599">
        <v>17.018000000000001</v>
      </c>
      <c r="N599" t="s">
        <v>3347</v>
      </c>
      <c r="O599" t="s">
        <v>3399</v>
      </c>
      <c r="P599">
        <v>17.818100000000001</v>
      </c>
      <c r="Q599">
        <v>19.558</v>
      </c>
    </row>
    <row r="600" spans="2:17">
      <c r="B600">
        <v>21</v>
      </c>
      <c r="C600">
        <v>571.5</v>
      </c>
      <c r="D600">
        <v>569.46799999999996</v>
      </c>
      <c r="E600">
        <v>573.53200000000004</v>
      </c>
      <c r="F600" t="s">
        <v>3342</v>
      </c>
      <c r="G600" t="s">
        <v>3434</v>
      </c>
      <c r="H600">
        <v>14.224</v>
      </c>
      <c r="I600">
        <v>12.7508</v>
      </c>
      <c r="J600" t="s">
        <v>3345</v>
      </c>
      <c r="K600" t="s">
        <v>3398</v>
      </c>
      <c r="L600">
        <v>15.887700000000001</v>
      </c>
      <c r="M600">
        <v>17.526</v>
      </c>
      <c r="N600" t="s">
        <v>3347</v>
      </c>
      <c r="O600" t="s">
        <v>3399</v>
      </c>
      <c r="P600">
        <v>18.542000000000002</v>
      </c>
      <c r="Q600">
        <v>20.32</v>
      </c>
    </row>
    <row r="601" spans="2:17">
      <c r="B601">
        <v>22</v>
      </c>
      <c r="C601">
        <v>597.91599999999994</v>
      </c>
      <c r="D601">
        <v>595.8839999999999</v>
      </c>
      <c r="E601">
        <v>599.94799999999998</v>
      </c>
      <c r="F601" t="s">
        <v>3342</v>
      </c>
      <c r="G601" t="s">
        <v>3434</v>
      </c>
      <c r="H601">
        <v>14.731999999999999</v>
      </c>
      <c r="I601">
        <v>13.2334</v>
      </c>
      <c r="J601" t="s">
        <v>3345</v>
      </c>
      <c r="K601" t="s">
        <v>3398</v>
      </c>
      <c r="L601">
        <v>16.129000000000001</v>
      </c>
      <c r="M601">
        <v>17.78</v>
      </c>
      <c r="N601" t="s">
        <v>3347</v>
      </c>
      <c r="O601" t="s">
        <v>3399</v>
      </c>
      <c r="P601">
        <v>18.783300000000001</v>
      </c>
      <c r="Q601">
        <v>20.574000000000002</v>
      </c>
    </row>
    <row r="602" spans="2:17">
      <c r="B602">
        <v>24</v>
      </c>
      <c r="C602">
        <v>650.24</v>
      </c>
      <c r="D602">
        <v>648.20799999999997</v>
      </c>
      <c r="E602">
        <v>652.27200000000005</v>
      </c>
      <c r="F602" t="s">
        <v>3342</v>
      </c>
      <c r="G602" t="s">
        <v>3434</v>
      </c>
      <c r="H602">
        <v>15.24</v>
      </c>
      <c r="I602">
        <v>13.715999999999999</v>
      </c>
      <c r="J602" t="s">
        <v>3345</v>
      </c>
      <c r="K602" t="s">
        <v>3398</v>
      </c>
      <c r="L602">
        <v>17.094200000000001</v>
      </c>
      <c r="M602">
        <v>18.795999999999999</v>
      </c>
      <c r="N602" t="s">
        <v>3347</v>
      </c>
      <c r="O602" t="s">
        <v>3399</v>
      </c>
      <c r="P602">
        <v>19.7485</v>
      </c>
      <c r="Q602">
        <v>21.59</v>
      </c>
    </row>
    <row r="603" spans="2:17">
      <c r="B603">
        <v>27</v>
      </c>
      <c r="C603">
        <v>728.98</v>
      </c>
      <c r="D603">
        <v>726.94799999999987</v>
      </c>
      <c r="E603">
        <v>731.01199999999994</v>
      </c>
      <c r="F603" t="s">
        <v>3342</v>
      </c>
      <c r="G603" t="s">
        <v>3434</v>
      </c>
      <c r="H603">
        <v>17.271999999999998</v>
      </c>
      <c r="I603">
        <v>15.6464</v>
      </c>
      <c r="J603" t="s">
        <v>3345</v>
      </c>
      <c r="K603" t="s">
        <v>3398</v>
      </c>
      <c r="L603">
        <v>19.265899999999998</v>
      </c>
      <c r="M603">
        <v>21.082000000000001</v>
      </c>
      <c r="N603" t="s">
        <v>3347</v>
      </c>
      <c r="O603" t="s">
        <v>3399</v>
      </c>
      <c r="P603">
        <v>22.402799999999999</v>
      </c>
      <c r="Q603">
        <v>24.384</v>
      </c>
    </row>
    <row r="607" spans="2:17">
      <c r="B607" t="s">
        <v>3448</v>
      </c>
      <c r="C607" t="s">
        <v>3449</v>
      </c>
      <c r="D607">
        <v>3</v>
      </c>
      <c r="E607" t="s">
        <v>3433</v>
      </c>
      <c r="F607" t="s">
        <v>3342</v>
      </c>
      <c r="G607" t="s">
        <v>3434</v>
      </c>
      <c r="H607">
        <v>1945</v>
      </c>
      <c r="I607">
        <v>1988</v>
      </c>
      <c r="J607">
        <v>3.76</v>
      </c>
      <c r="K607">
        <v>3.18</v>
      </c>
      <c r="L607">
        <v>0.28999999999999998</v>
      </c>
      <c r="M607" t="s">
        <v>3450</v>
      </c>
    </row>
    <row r="608" spans="2:17">
      <c r="B608" t="s">
        <v>3448</v>
      </c>
      <c r="C608" t="s">
        <v>3449</v>
      </c>
      <c r="D608">
        <v>4</v>
      </c>
      <c r="E608" t="s">
        <v>3433</v>
      </c>
      <c r="F608" t="s">
        <v>3342</v>
      </c>
      <c r="G608" t="s">
        <v>3434</v>
      </c>
      <c r="H608">
        <v>1945</v>
      </c>
      <c r="I608">
        <v>1988</v>
      </c>
      <c r="J608">
        <v>4.8</v>
      </c>
      <c r="K608">
        <v>4.2</v>
      </c>
      <c r="L608">
        <v>0.3</v>
      </c>
      <c r="M608" t="s">
        <v>3450</v>
      </c>
    </row>
    <row r="609" spans="2:13">
      <c r="B609" t="s">
        <v>3448</v>
      </c>
      <c r="C609" t="s">
        <v>3449</v>
      </c>
      <c r="D609">
        <v>5</v>
      </c>
      <c r="E609" t="s">
        <v>3433</v>
      </c>
      <c r="F609" t="s">
        <v>3342</v>
      </c>
      <c r="G609" t="s">
        <v>3434</v>
      </c>
      <c r="H609">
        <v>1945</v>
      </c>
      <c r="I609">
        <v>1988</v>
      </c>
      <c r="J609">
        <v>5.9</v>
      </c>
      <c r="K609">
        <v>5.28</v>
      </c>
      <c r="L609">
        <v>0.31</v>
      </c>
      <c r="M609" t="s">
        <v>3450</v>
      </c>
    </row>
    <row r="610" spans="2:13">
      <c r="B610" t="s">
        <v>3448</v>
      </c>
      <c r="C610" t="s">
        <v>3449</v>
      </c>
      <c r="D610">
        <v>6</v>
      </c>
      <c r="E610" t="s">
        <v>3433</v>
      </c>
      <c r="F610" t="s">
        <v>3342</v>
      </c>
      <c r="G610" t="s">
        <v>3434</v>
      </c>
      <c r="H610">
        <v>1945</v>
      </c>
      <c r="I610">
        <v>1988</v>
      </c>
      <c r="J610">
        <v>6.98</v>
      </c>
      <c r="K610">
        <v>6.32</v>
      </c>
      <c r="L610">
        <v>0.33</v>
      </c>
      <c r="M610" t="s">
        <v>3450</v>
      </c>
    </row>
    <row r="611" spans="2:13">
      <c r="B611" t="s">
        <v>3448</v>
      </c>
      <c r="C611" t="s">
        <v>3449</v>
      </c>
      <c r="D611">
        <v>7</v>
      </c>
      <c r="E611" t="s">
        <v>3433</v>
      </c>
      <c r="F611" t="s">
        <v>3342</v>
      </c>
      <c r="G611" t="s">
        <v>3434</v>
      </c>
      <c r="H611">
        <v>1945</v>
      </c>
      <c r="I611">
        <v>1988</v>
      </c>
      <c r="J611">
        <v>8.06</v>
      </c>
      <c r="K611">
        <v>7.38</v>
      </c>
      <c r="L611">
        <v>0.34</v>
      </c>
      <c r="M611" t="s">
        <v>3450</v>
      </c>
    </row>
    <row r="612" spans="2:13">
      <c r="B612" t="s">
        <v>3448</v>
      </c>
      <c r="C612" t="s">
        <v>3449</v>
      </c>
      <c r="D612">
        <v>8</v>
      </c>
      <c r="E612" t="s">
        <v>3433</v>
      </c>
      <c r="F612" t="s">
        <v>3342</v>
      </c>
      <c r="G612" t="s">
        <v>3434</v>
      </c>
      <c r="H612">
        <v>1945</v>
      </c>
      <c r="I612">
        <v>1988</v>
      </c>
      <c r="J612">
        <v>9.14</v>
      </c>
      <c r="K612">
        <v>8.42</v>
      </c>
      <c r="L612">
        <v>0.36</v>
      </c>
      <c r="M612" t="s">
        <v>3450</v>
      </c>
    </row>
    <row r="613" spans="2:13">
      <c r="B613" t="s">
        <v>3448</v>
      </c>
      <c r="C613" t="s">
        <v>3449</v>
      </c>
      <c r="D613">
        <v>9</v>
      </c>
      <c r="E613" t="s">
        <v>3433</v>
      </c>
      <c r="F613" t="s">
        <v>3342</v>
      </c>
      <c r="G613" t="s">
        <v>3434</v>
      </c>
      <c r="H613">
        <v>1945</v>
      </c>
      <c r="I613">
        <v>1988</v>
      </c>
      <c r="J613">
        <v>10.199999999999999</v>
      </c>
      <c r="K613">
        <v>9.4600000000000009</v>
      </c>
      <c r="L613">
        <v>0.37</v>
      </c>
      <c r="M613" t="s">
        <v>3450</v>
      </c>
    </row>
    <row r="614" spans="2:13">
      <c r="B614" t="s">
        <v>3448</v>
      </c>
      <c r="C614" t="s">
        <v>3449</v>
      </c>
      <c r="D614">
        <v>10</v>
      </c>
      <c r="E614" t="s">
        <v>3433</v>
      </c>
      <c r="F614" t="s">
        <v>3342</v>
      </c>
      <c r="G614" t="s">
        <v>3434</v>
      </c>
      <c r="H614">
        <v>1945</v>
      </c>
      <c r="I614">
        <v>1988</v>
      </c>
      <c r="J614">
        <v>11.26</v>
      </c>
      <c r="K614">
        <v>10.48</v>
      </c>
      <c r="L614">
        <v>0.39</v>
      </c>
      <c r="M614" t="s">
        <v>3450</v>
      </c>
    </row>
    <row r="615" spans="2:13">
      <c r="B615" t="s">
        <v>3448</v>
      </c>
      <c r="C615" t="s">
        <v>3449</v>
      </c>
      <c r="D615">
        <v>12</v>
      </c>
      <c r="E615" t="s">
        <v>3433</v>
      </c>
      <c r="F615" t="s">
        <v>3342</v>
      </c>
      <c r="G615" t="s">
        <v>3434</v>
      </c>
      <c r="H615">
        <v>1945</v>
      </c>
      <c r="I615">
        <v>1988</v>
      </c>
      <c r="J615">
        <v>13.14</v>
      </c>
      <c r="K615">
        <v>12.28</v>
      </c>
      <c r="L615">
        <v>0.43</v>
      </c>
      <c r="M615" t="s">
        <v>3450</v>
      </c>
    </row>
    <row r="616" spans="2:13">
      <c r="B616" t="s">
        <v>3448</v>
      </c>
      <c r="C616" t="s">
        <v>3449</v>
      </c>
      <c r="D616">
        <v>14</v>
      </c>
      <c r="E616" t="s">
        <v>3433</v>
      </c>
      <c r="F616" t="s">
        <v>3342</v>
      </c>
      <c r="G616" t="s">
        <v>3434</v>
      </c>
      <c r="H616">
        <v>1945</v>
      </c>
      <c r="I616">
        <v>1988</v>
      </c>
      <c r="J616">
        <v>15.22</v>
      </c>
      <c r="K616">
        <v>14.3</v>
      </c>
      <c r="L616">
        <v>0.46</v>
      </c>
      <c r="M616" t="s">
        <v>3450</v>
      </c>
    </row>
    <row r="617" spans="2:13">
      <c r="B617" t="s">
        <v>3448</v>
      </c>
      <c r="C617" t="s">
        <v>3449</v>
      </c>
      <c r="D617">
        <v>15</v>
      </c>
      <c r="E617" t="s">
        <v>3433</v>
      </c>
      <c r="F617" t="s">
        <v>3342</v>
      </c>
      <c r="G617" t="s">
        <v>3434</v>
      </c>
      <c r="H617">
        <v>1945</v>
      </c>
      <c r="I617">
        <v>1988</v>
      </c>
      <c r="J617">
        <v>16.260000000000002</v>
      </c>
      <c r="K617">
        <v>15.32</v>
      </c>
      <c r="L617">
        <v>0.47</v>
      </c>
      <c r="M617" t="s">
        <v>3450</v>
      </c>
    </row>
    <row r="618" spans="2:13">
      <c r="B618" t="s">
        <v>3448</v>
      </c>
      <c r="C618" t="s">
        <v>3449</v>
      </c>
      <c r="D618">
        <v>16</v>
      </c>
      <c r="E618" t="s">
        <v>3433</v>
      </c>
      <c r="F618" t="s">
        <v>3342</v>
      </c>
      <c r="G618" t="s">
        <v>3434</v>
      </c>
      <c r="H618">
        <v>1945</v>
      </c>
      <c r="I618">
        <v>1988</v>
      </c>
      <c r="J618">
        <v>17.3</v>
      </c>
      <c r="K618">
        <v>16.32</v>
      </c>
      <c r="L618">
        <v>0.49</v>
      </c>
      <c r="M618" t="s">
        <v>3450</v>
      </c>
    </row>
    <row r="619" spans="2:13">
      <c r="B619" t="s">
        <v>3448</v>
      </c>
      <c r="C619" t="s">
        <v>3449</v>
      </c>
      <c r="D619">
        <v>18</v>
      </c>
      <c r="E619" t="s">
        <v>3433</v>
      </c>
      <c r="F619" t="s">
        <v>3342</v>
      </c>
      <c r="G619" t="s">
        <v>3434</v>
      </c>
      <c r="H619">
        <v>1945</v>
      </c>
      <c r="I619">
        <v>1988</v>
      </c>
      <c r="J619">
        <v>19.38</v>
      </c>
      <c r="K619">
        <v>18.34</v>
      </c>
      <c r="L619">
        <v>0.52</v>
      </c>
      <c r="M619" t="s">
        <v>3450</v>
      </c>
    </row>
    <row r="620" spans="2:13">
      <c r="B620" t="s">
        <v>3448</v>
      </c>
      <c r="C620" t="s">
        <v>3449</v>
      </c>
      <c r="D620">
        <v>20</v>
      </c>
      <c r="E620" t="s">
        <v>3433</v>
      </c>
      <c r="F620" t="s">
        <v>3342</v>
      </c>
      <c r="G620" t="s">
        <v>3434</v>
      </c>
      <c r="H620">
        <v>1945</v>
      </c>
      <c r="I620">
        <v>1988</v>
      </c>
      <c r="J620">
        <v>21.46</v>
      </c>
      <c r="K620">
        <v>20.36</v>
      </c>
      <c r="L620">
        <v>0.55000000000000004</v>
      </c>
      <c r="M620" t="s">
        <v>3450</v>
      </c>
    </row>
    <row r="621" spans="2:13">
      <c r="B621" t="s">
        <v>3448</v>
      </c>
      <c r="C621" t="s">
        <v>3449</v>
      </c>
      <c r="D621">
        <v>21</v>
      </c>
      <c r="E621" t="s">
        <v>3433</v>
      </c>
      <c r="F621" t="s">
        <v>3342</v>
      </c>
      <c r="G621" t="s">
        <v>3434</v>
      </c>
      <c r="H621">
        <v>1945</v>
      </c>
      <c r="I621">
        <v>1988</v>
      </c>
      <c r="J621">
        <v>22.5</v>
      </c>
      <c r="K621">
        <v>21.38</v>
      </c>
      <c r="L621">
        <v>0.56000000000000005</v>
      </c>
      <c r="M621" t="s">
        <v>3450</v>
      </c>
    </row>
    <row r="622" spans="2:13">
      <c r="B622" t="s">
        <v>3448</v>
      </c>
      <c r="C622" t="s">
        <v>3449</v>
      </c>
      <c r="D622">
        <v>22</v>
      </c>
      <c r="E622" t="s">
        <v>3433</v>
      </c>
      <c r="F622" t="s">
        <v>3342</v>
      </c>
      <c r="G622" t="s">
        <v>3434</v>
      </c>
      <c r="H622">
        <v>1945</v>
      </c>
      <c r="I622">
        <v>1988</v>
      </c>
      <c r="J622">
        <v>23.54</v>
      </c>
      <c r="K622">
        <v>22.38</v>
      </c>
      <c r="L622">
        <v>0.57999999999999996</v>
      </c>
      <c r="M622" t="s">
        <v>3450</v>
      </c>
    </row>
    <row r="623" spans="2:13">
      <c r="B623" t="s">
        <v>3448</v>
      </c>
      <c r="C623" t="s">
        <v>3449</v>
      </c>
      <c r="D623">
        <v>24</v>
      </c>
      <c r="E623" t="s">
        <v>3433</v>
      </c>
      <c r="F623" t="s">
        <v>3342</v>
      </c>
      <c r="G623" t="s">
        <v>3434</v>
      </c>
      <c r="H623">
        <v>1945</v>
      </c>
      <c r="I623">
        <v>1988</v>
      </c>
      <c r="J623">
        <v>25.6</v>
      </c>
      <c r="K623">
        <v>24.4</v>
      </c>
      <c r="L623">
        <v>0.6</v>
      </c>
      <c r="M623" t="s">
        <v>3450</v>
      </c>
    </row>
    <row r="624" spans="2:13">
      <c r="B624" t="s">
        <v>3448</v>
      </c>
      <c r="C624" t="s">
        <v>3449</v>
      </c>
      <c r="D624">
        <v>27</v>
      </c>
      <c r="E624" t="s">
        <v>3433</v>
      </c>
      <c r="F624" t="s">
        <v>3342</v>
      </c>
      <c r="G624" t="s">
        <v>3434</v>
      </c>
      <c r="H624">
        <v>1945</v>
      </c>
      <c r="I624">
        <v>1988</v>
      </c>
      <c r="J624">
        <v>28.7</v>
      </c>
      <c r="K624">
        <v>27.34</v>
      </c>
      <c r="L624">
        <v>0.68</v>
      </c>
      <c r="M624" t="s">
        <v>3450</v>
      </c>
    </row>
    <row r="625" spans="2:13">
      <c r="B625" t="s">
        <v>3448</v>
      </c>
      <c r="C625" t="s">
        <v>3449</v>
      </c>
      <c r="D625">
        <v>3</v>
      </c>
      <c r="E625" t="s">
        <v>3433</v>
      </c>
      <c r="F625" t="s">
        <v>3345</v>
      </c>
      <c r="G625" t="s">
        <v>3398</v>
      </c>
      <c r="H625">
        <v>1945</v>
      </c>
      <c r="I625">
        <v>1988</v>
      </c>
      <c r="J625">
        <v>3.76</v>
      </c>
      <c r="K625">
        <v>3.18</v>
      </c>
      <c r="L625">
        <v>0.28999999999999998</v>
      </c>
      <c r="M625" t="s">
        <v>3450</v>
      </c>
    </row>
    <row r="626" spans="2:13">
      <c r="B626" t="s">
        <v>3448</v>
      </c>
      <c r="C626" t="s">
        <v>3449</v>
      </c>
      <c r="D626">
        <v>4</v>
      </c>
      <c r="E626" t="s">
        <v>3433</v>
      </c>
      <c r="F626" t="s">
        <v>3345</v>
      </c>
      <c r="G626" t="s">
        <v>3398</v>
      </c>
      <c r="H626">
        <v>1945</v>
      </c>
      <c r="I626">
        <v>1988</v>
      </c>
      <c r="J626">
        <v>4.8</v>
      </c>
      <c r="K626">
        <v>4.18</v>
      </c>
      <c r="L626">
        <v>0.31</v>
      </c>
      <c r="M626" t="s">
        <v>3450</v>
      </c>
    </row>
    <row r="627" spans="2:13">
      <c r="B627" t="s">
        <v>3448</v>
      </c>
      <c r="C627" t="s">
        <v>3449</v>
      </c>
      <c r="D627">
        <v>5</v>
      </c>
      <c r="E627" t="s">
        <v>3433</v>
      </c>
      <c r="F627" t="s">
        <v>3345</v>
      </c>
      <c r="G627" t="s">
        <v>3398</v>
      </c>
      <c r="H627">
        <v>1945</v>
      </c>
      <c r="I627">
        <v>1988</v>
      </c>
      <c r="J627">
        <v>5.9</v>
      </c>
      <c r="K627">
        <v>5.22</v>
      </c>
      <c r="L627">
        <v>0.34</v>
      </c>
      <c r="M627" t="s">
        <v>3450</v>
      </c>
    </row>
    <row r="628" spans="2:13">
      <c r="B628" t="s">
        <v>3448</v>
      </c>
      <c r="C628" t="s">
        <v>3449</v>
      </c>
      <c r="D628">
        <v>6</v>
      </c>
      <c r="E628" t="s">
        <v>3433</v>
      </c>
      <c r="F628" t="s">
        <v>3345</v>
      </c>
      <c r="G628" t="s">
        <v>3398</v>
      </c>
      <c r="H628">
        <v>1945</v>
      </c>
      <c r="I628">
        <v>1988</v>
      </c>
      <c r="J628">
        <v>6.98</v>
      </c>
      <c r="K628">
        <v>6.24</v>
      </c>
      <c r="L628">
        <v>0.37</v>
      </c>
      <c r="M628" t="s">
        <v>3450</v>
      </c>
    </row>
    <row r="629" spans="2:13">
      <c r="B629" t="s">
        <v>3448</v>
      </c>
      <c r="C629" t="s">
        <v>3449</v>
      </c>
      <c r="D629">
        <v>7</v>
      </c>
      <c r="E629" t="s">
        <v>3433</v>
      </c>
      <c r="F629" t="s">
        <v>3345</v>
      </c>
      <c r="G629" t="s">
        <v>3398</v>
      </c>
      <c r="H629">
        <v>1945</v>
      </c>
      <c r="I629">
        <v>1988</v>
      </c>
      <c r="J629">
        <v>8.06</v>
      </c>
      <c r="K629">
        <v>7.26</v>
      </c>
      <c r="L629">
        <v>0.4</v>
      </c>
      <c r="M629" t="s">
        <v>3450</v>
      </c>
    </row>
    <row r="630" spans="2:13">
      <c r="B630" t="s">
        <v>3448</v>
      </c>
      <c r="C630" t="s">
        <v>3449</v>
      </c>
      <c r="D630">
        <v>8</v>
      </c>
      <c r="E630" t="s">
        <v>3433</v>
      </c>
      <c r="F630" t="s">
        <v>3345</v>
      </c>
      <c r="G630" t="s">
        <v>3398</v>
      </c>
      <c r="H630">
        <v>1945</v>
      </c>
      <c r="I630">
        <v>1988</v>
      </c>
      <c r="J630">
        <v>9.14</v>
      </c>
      <c r="K630">
        <v>8.2799999999999994</v>
      </c>
      <c r="L630">
        <v>0.43</v>
      </c>
      <c r="M630" t="s">
        <v>3450</v>
      </c>
    </row>
    <row r="631" spans="2:13">
      <c r="B631" t="s">
        <v>3448</v>
      </c>
      <c r="C631" t="s">
        <v>3449</v>
      </c>
      <c r="D631">
        <v>9</v>
      </c>
      <c r="E631" t="s">
        <v>3433</v>
      </c>
      <c r="F631" t="s">
        <v>3345</v>
      </c>
      <c r="G631" t="s">
        <v>3398</v>
      </c>
      <c r="H631">
        <v>1945</v>
      </c>
      <c r="I631">
        <v>1988</v>
      </c>
      <c r="J631">
        <v>10.199999999999999</v>
      </c>
      <c r="K631">
        <v>9.3000000000000007</v>
      </c>
      <c r="L631">
        <v>0.45</v>
      </c>
      <c r="M631" t="s">
        <v>3450</v>
      </c>
    </row>
    <row r="632" spans="2:13">
      <c r="B632" t="s">
        <v>3448</v>
      </c>
      <c r="C632" t="s">
        <v>3449</v>
      </c>
      <c r="D632">
        <v>10</v>
      </c>
      <c r="E632" t="s">
        <v>3433</v>
      </c>
      <c r="F632" t="s">
        <v>3345</v>
      </c>
      <c r="G632" t="s">
        <v>3398</v>
      </c>
      <c r="H632">
        <v>1945</v>
      </c>
      <c r="I632">
        <v>1988</v>
      </c>
      <c r="J632">
        <v>11.26</v>
      </c>
      <c r="K632">
        <v>10.32</v>
      </c>
      <c r="L632">
        <v>0.47</v>
      </c>
      <c r="M632" t="s">
        <v>3450</v>
      </c>
    </row>
    <row r="633" spans="2:13">
      <c r="B633" t="s">
        <v>3448</v>
      </c>
      <c r="C633" t="s">
        <v>3449</v>
      </c>
      <c r="D633">
        <v>12</v>
      </c>
      <c r="E633" t="s">
        <v>3433</v>
      </c>
      <c r="F633" t="s">
        <v>3345</v>
      </c>
      <c r="G633" t="s">
        <v>3398</v>
      </c>
      <c r="H633">
        <v>1945</v>
      </c>
      <c r="I633">
        <v>1988</v>
      </c>
      <c r="J633">
        <v>13.14</v>
      </c>
      <c r="K633">
        <v>12.1</v>
      </c>
      <c r="L633">
        <v>0.52</v>
      </c>
      <c r="M633" t="s">
        <v>3450</v>
      </c>
    </row>
    <row r="634" spans="2:13">
      <c r="B634" t="s">
        <v>3448</v>
      </c>
      <c r="C634" t="s">
        <v>3449</v>
      </c>
      <c r="D634">
        <v>14</v>
      </c>
      <c r="E634" t="s">
        <v>3433</v>
      </c>
      <c r="F634" t="s">
        <v>3345</v>
      </c>
      <c r="G634" t="s">
        <v>3398</v>
      </c>
      <c r="H634">
        <v>1945</v>
      </c>
      <c r="I634">
        <v>1988</v>
      </c>
      <c r="J634">
        <v>15.22</v>
      </c>
      <c r="K634">
        <v>14.1</v>
      </c>
      <c r="L634">
        <v>0.56000000000000005</v>
      </c>
      <c r="M634" t="s">
        <v>3450</v>
      </c>
    </row>
    <row r="635" spans="2:13">
      <c r="B635" t="s">
        <v>3448</v>
      </c>
      <c r="C635" t="s">
        <v>3449</v>
      </c>
      <c r="D635">
        <v>15</v>
      </c>
      <c r="E635" t="s">
        <v>3433</v>
      </c>
      <c r="F635" t="s">
        <v>3345</v>
      </c>
      <c r="G635" t="s">
        <v>3398</v>
      </c>
      <c r="H635">
        <v>1945</v>
      </c>
      <c r="I635">
        <v>1988</v>
      </c>
      <c r="J635">
        <v>16.260000000000002</v>
      </c>
      <c r="K635">
        <v>15.1</v>
      </c>
      <c r="L635">
        <v>0.57999999999999996</v>
      </c>
      <c r="M635" t="s">
        <v>3450</v>
      </c>
    </row>
    <row r="636" spans="2:13">
      <c r="B636" t="s">
        <v>3448</v>
      </c>
      <c r="C636" t="s">
        <v>3449</v>
      </c>
      <c r="D636">
        <v>16</v>
      </c>
      <c r="E636" t="s">
        <v>3433</v>
      </c>
      <c r="F636" t="s">
        <v>3345</v>
      </c>
      <c r="G636" t="s">
        <v>3398</v>
      </c>
      <c r="H636">
        <v>1945</v>
      </c>
      <c r="I636">
        <v>1988</v>
      </c>
      <c r="J636">
        <v>17.3</v>
      </c>
      <c r="K636">
        <v>16.100000000000001</v>
      </c>
      <c r="L636">
        <v>0.6</v>
      </c>
      <c r="M636" t="s">
        <v>3450</v>
      </c>
    </row>
    <row r="637" spans="2:13">
      <c r="B637" t="s">
        <v>3448</v>
      </c>
      <c r="C637" t="s">
        <v>3449</v>
      </c>
      <c r="D637">
        <v>18</v>
      </c>
      <c r="E637" t="s">
        <v>3433</v>
      </c>
      <c r="F637" t="s">
        <v>3345</v>
      </c>
      <c r="G637" t="s">
        <v>3398</v>
      </c>
      <c r="H637">
        <v>1945</v>
      </c>
      <c r="I637">
        <v>1988</v>
      </c>
      <c r="J637">
        <v>19.38</v>
      </c>
      <c r="K637">
        <v>18.100000000000001</v>
      </c>
      <c r="L637">
        <v>0.64</v>
      </c>
      <c r="M637" t="s">
        <v>3450</v>
      </c>
    </row>
    <row r="638" spans="2:13">
      <c r="B638" t="s">
        <v>3448</v>
      </c>
      <c r="C638" t="s">
        <v>3449</v>
      </c>
      <c r="D638">
        <v>20</v>
      </c>
      <c r="E638" t="s">
        <v>3433</v>
      </c>
      <c r="F638" t="s">
        <v>3345</v>
      </c>
      <c r="G638" t="s">
        <v>3398</v>
      </c>
      <c r="H638">
        <v>1945</v>
      </c>
      <c r="I638">
        <v>1988</v>
      </c>
      <c r="J638">
        <v>21.46</v>
      </c>
      <c r="K638">
        <v>20.12</v>
      </c>
      <c r="L638">
        <v>0.67</v>
      </c>
      <c r="M638" t="s">
        <v>3450</v>
      </c>
    </row>
    <row r="639" spans="2:13">
      <c r="B639" t="s">
        <v>3448</v>
      </c>
      <c r="C639" t="s">
        <v>3449</v>
      </c>
      <c r="D639">
        <v>21</v>
      </c>
      <c r="E639" t="s">
        <v>3433</v>
      </c>
      <c r="F639" t="s">
        <v>3345</v>
      </c>
      <c r="G639" t="s">
        <v>3398</v>
      </c>
      <c r="H639">
        <v>1945</v>
      </c>
      <c r="I639">
        <v>1988</v>
      </c>
      <c r="J639">
        <v>22.5</v>
      </c>
      <c r="K639">
        <v>21.12</v>
      </c>
      <c r="L639">
        <v>0.69</v>
      </c>
      <c r="M639" t="s">
        <v>3450</v>
      </c>
    </row>
    <row r="640" spans="2:13">
      <c r="B640" t="s">
        <v>3448</v>
      </c>
      <c r="C640" t="s">
        <v>3449</v>
      </c>
      <c r="D640">
        <v>22</v>
      </c>
      <c r="E640" t="s">
        <v>3433</v>
      </c>
      <c r="F640" t="s">
        <v>3345</v>
      </c>
      <c r="G640" t="s">
        <v>3398</v>
      </c>
      <c r="H640">
        <v>1945</v>
      </c>
      <c r="I640">
        <v>1988</v>
      </c>
      <c r="J640">
        <v>23.54</v>
      </c>
      <c r="K640">
        <v>22.14</v>
      </c>
      <c r="L640">
        <v>0.7</v>
      </c>
      <c r="M640" t="s">
        <v>3450</v>
      </c>
    </row>
    <row r="641" spans="2:13">
      <c r="B641" t="s">
        <v>3448</v>
      </c>
      <c r="C641" t="s">
        <v>3449</v>
      </c>
      <c r="D641">
        <v>24</v>
      </c>
      <c r="E641" t="s">
        <v>3433</v>
      </c>
      <c r="F641" t="s">
        <v>3345</v>
      </c>
      <c r="G641" t="s">
        <v>3398</v>
      </c>
      <c r="H641">
        <v>1945</v>
      </c>
      <c r="I641">
        <v>1988</v>
      </c>
      <c r="J641">
        <v>25.6</v>
      </c>
      <c r="K641">
        <v>24.12</v>
      </c>
      <c r="L641">
        <v>0.74</v>
      </c>
      <c r="M641" t="s">
        <v>3450</v>
      </c>
    </row>
    <row r="642" spans="2:13">
      <c r="B642" t="s">
        <v>3448</v>
      </c>
      <c r="C642" t="s">
        <v>3449</v>
      </c>
      <c r="D642">
        <v>27</v>
      </c>
      <c r="E642" t="s">
        <v>3433</v>
      </c>
      <c r="F642" t="s">
        <v>3345</v>
      </c>
      <c r="G642" t="s">
        <v>3398</v>
      </c>
      <c r="H642">
        <v>1945</v>
      </c>
      <c r="I642">
        <v>1988</v>
      </c>
      <c r="J642">
        <v>28.7</v>
      </c>
      <c r="K642">
        <v>27.04</v>
      </c>
      <c r="L642">
        <v>0.83</v>
      </c>
      <c r="M642" t="s">
        <v>3450</v>
      </c>
    </row>
    <row r="643" spans="2:13">
      <c r="B643" t="s">
        <v>3448</v>
      </c>
      <c r="C643" t="s">
        <v>3449</v>
      </c>
      <c r="D643">
        <v>3</v>
      </c>
      <c r="E643" t="s">
        <v>3433</v>
      </c>
      <c r="F643" t="s">
        <v>3347</v>
      </c>
      <c r="G643" t="s">
        <v>3399</v>
      </c>
      <c r="H643">
        <v>1945</v>
      </c>
      <c r="I643">
        <v>1988</v>
      </c>
      <c r="J643">
        <v>3.76</v>
      </c>
      <c r="K643">
        <v>3.16</v>
      </c>
      <c r="L643">
        <v>0.3</v>
      </c>
      <c r="M643" t="s">
        <v>3450</v>
      </c>
    </row>
    <row r="644" spans="2:13">
      <c r="B644" t="s">
        <v>3448</v>
      </c>
      <c r="C644" t="s">
        <v>3449</v>
      </c>
      <c r="D644">
        <v>4</v>
      </c>
      <c r="E644" t="s">
        <v>3433</v>
      </c>
      <c r="F644" t="s">
        <v>3347</v>
      </c>
      <c r="G644" t="s">
        <v>3399</v>
      </c>
      <c r="H644">
        <v>1945</v>
      </c>
      <c r="I644">
        <v>1988</v>
      </c>
      <c r="J644">
        <v>4.8</v>
      </c>
      <c r="K644">
        <v>4.0999999999999996</v>
      </c>
      <c r="L644">
        <v>0.35</v>
      </c>
      <c r="M644" t="s">
        <v>3450</v>
      </c>
    </row>
    <row r="645" spans="2:13">
      <c r="B645" t="s">
        <v>3448</v>
      </c>
      <c r="C645" t="s">
        <v>3449</v>
      </c>
      <c r="D645">
        <v>5</v>
      </c>
      <c r="E645" t="s">
        <v>3433</v>
      </c>
      <c r="F645" t="s">
        <v>3347</v>
      </c>
      <c r="G645" t="s">
        <v>3399</v>
      </c>
      <c r="H645">
        <v>1945</v>
      </c>
      <c r="I645">
        <v>1988</v>
      </c>
      <c r="J645">
        <v>5.9</v>
      </c>
      <c r="K645">
        <v>5.12</v>
      </c>
      <c r="L645">
        <v>0.39</v>
      </c>
      <c r="M645" t="s">
        <v>3450</v>
      </c>
    </row>
    <row r="646" spans="2:13">
      <c r="B646" t="s">
        <v>3448</v>
      </c>
      <c r="C646" t="s">
        <v>3449</v>
      </c>
      <c r="D646">
        <v>6</v>
      </c>
      <c r="E646" t="s">
        <v>3433</v>
      </c>
      <c r="F646" t="s">
        <v>3347</v>
      </c>
      <c r="G646" t="s">
        <v>3399</v>
      </c>
      <c r="H646">
        <v>1945</v>
      </c>
      <c r="I646">
        <v>1988</v>
      </c>
      <c r="J646">
        <v>6.98</v>
      </c>
      <c r="K646">
        <v>6.12</v>
      </c>
      <c r="L646">
        <v>0.43</v>
      </c>
      <c r="M646" t="s">
        <v>3450</v>
      </c>
    </row>
    <row r="647" spans="2:13">
      <c r="B647" t="s">
        <v>3448</v>
      </c>
      <c r="C647" t="s">
        <v>3449</v>
      </c>
      <c r="D647">
        <v>7</v>
      </c>
      <c r="E647" t="s">
        <v>3433</v>
      </c>
      <c r="F647" t="s">
        <v>3347</v>
      </c>
      <c r="G647" t="s">
        <v>3399</v>
      </c>
      <c r="H647">
        <v>1945</v>
      </c>
      <c r="I647">
        <v>1988</v>
      </c>
      <c r="J647">
        <v>8.06</v>
      </c>
      <c r="K647">
        <v>7.14</v>
      </c>
      <c r="L647">
        <v>0.46</v>
      </c>
      <c r="M647" t="s">
        <v>3450</v>
      </c>
    </row>
    <row r="648" spans="2:13">
      <c r="B648" t="s">
        <v>3448</v>
      </c>
      <c r="C648" t="s">
        <v>3449</v>
      </c>
      <c r="D648">
        <v>8</v>
      </c>
      <c r="E648" t="s">
        <v>3433</v>
      </c>
      <c r="F648" t="s">
        <v>3347</v>
      </c>
      <c r="G648" t="s">
        <v>3399</v>
      </c>
      <c r="H648">
        <v>1945</v>
      </c>
      <c r="I648">
        <v>1988</v>
      </c>
      <c r="J648">
        <v>9.14</v>
      </c>
      <c r="K648">
        <v>8.16</v>
      </c>
      <c r="L648">
        <v>0.49</v>
      </c>
      <c r="M648" t="s">
        <v>3450</v>
      </c>
    </row>
    <row r="649" spans="2:13">
      <c r="B649" t="s">
        <v>3448</v>
      </c>
      <c r="C649" t="s">
        <v>3449</v>
      </c>
      <c r="D649">
        <v>9</v>
      </c>
      <c r="E649" t="s">
        <v>3433</v>
      </c>
      <c r="F649" t="s">
        <v>3347</v>
      </c>
      <c r="G649" t="s">
        <v>3399</v>
      </c>
      <c r="H649">
        <v>1945</v>
      </c>
      <c r="I649">
        <v>1988</v>
      </c>
      <c r="J649">
        <v>10.199999999999999</v>
      </c>
      <c r="K649">
        <v>9.16</v>
      </c>
      <c r="L649">
        <v>0.52</v>
      </c>
      <c r="M649" t="s">
        <v>3450</v>
      </c>
    </row>
    <row r="650" spans="2:13">
      <c r="B650" t="s">
        <v>3448</v>
      </c>
      <c r="C650" t="s">
        <v>3449</v>
      </c>
      <c r="D650">
        <v>10</v>
      </c>
      <c r="E650" t="s">
        <v>3433</v>
      </c>
      <c r="F650" t="s">
        <v>3347</v>
      </c>
      <c r="G650" t="s">
        <v>3399</v>
      </c>
      <c r="H650">
        <v>1945</v>
      </c>
      <c r="I650">
        <v>1988</v>
      </c>
      <c r="J650">
        <v>11.26</v>
      </c>
      <c r="K650">
        <v>10.16</v>
      </c>
      <c r="L650">
        <v>0.55000000000000004</v>
      </c>
      <c r="M650" t="s">
        <v>3450</v>
      </c>
    </row>
    <row r="651" spans="2:13">
      <c r="B651" t="s">
        <v>3448</v>
      </c>
      <c r="C651" t="s">
        <v>3449</v>
      </c>
      <c r="D651">
        <v>12</v>
      </c>
      <c r="E651" t="s">
        <v>3433</v>
      </c>
      <c r="F651" t="s">
        <v>3347</v>
      </c>
      <c r="G651" t="s">
        <v>3399</v>
      </c>
      <c r="H651">
        <v>1945</v>
      </c>
      <c r="I651">
        <v>1988</v>
      </c>
      <c r="J651">
        <v>13.14</v>
      </c>
      <c r="K651">
        <v>11.94</v>
      </c>
      <c r="L651">
        <v>0.6</v>
      </c>
      <c r="M651" t="s">
        <v>3450</v>
      </c>
    </row>
    <row r="652" spans="2:13">
      <c r="B652" t="s">
        <v>3448</v>
      </c>
      <c r="C652" t="s">
        <v>3449</v>
      </c>
      <c r="D652">
        <v>14</v>
      </c>
      <c r="E652" t="s">
        <v>3433</v>
      </c>
      <c r="F652" t="s">
        <v>3347</v>
      </c>
      <c r="G652" t="s">
        <v>3399</v>
      </c>
      <c r="H652">
        <v>1945</v>
      </c>
      <c r="I652">
        <v>1988</v>
      </c>
      <c r="J652">
        <v>15.22</v>
      </c>
      <c r="K652">
        <v>13.92</v>
      </c>
      <c r="L652">
        <v>0.65</v>
      </c>
      <c r="M652" t="s">
        <v>3450</v>
      </c>
    </row>
    <row r="653" spans="2:13">
      <c r="B653" t="s">
        <v>3448</v>
      </c>
      <c r="C653" t="s">
        <v>3449</v>
      </c>
      <c r="D653">
        <v>15</v>
      </c>
      <c r="E653" t="s">
        <v>3433</v>
      </c>
      <c r="F653" t="s">
        <v>3347</v>
      </c>
      <c r="G653" t="s">
        <v>3399</v>
      </c>
      <c r="H653">
        <v>1945</v>
      </c>
      <c r="I653">
        <v>1988</v>
      </c>
      <c r="J653">
        <v>16.260000000000002</v>
      </c>
      <c r="K653">
        <v>14.92</v>
      </c>
      <c r="L653">
        <v>0.67</v>
      </c>
      <c r="M653" t="s">
        <v>3450</v>
      </c>
    </row>
    <row r="654" spans="2:13">
      <c r="B654" t="s">
        <v>3448</v>
      </c>
      <c r="C654" t="s">
        <v>3449</v>
      </c>
      <c r="D654">
        <v>16</v>
      </c>
      <c r="E654" t="s">
        <v>3433</v>
      </c>
      <c r="F654" t="s">
        <v>3347</v>
      </c>
      <c r="G654" t="s">
        <v>3399</v>
      </c>
      <c r="H654">
        <v>1945</v>
      </c>
      <c r="I654">
        <v>1988</v>
      </c>
      <c r="J654">
        <v>17.3</v>
      </c>
      <c r="K654">
        <v>15.92</v>
      </c>
      <c r="L654">
        <v>0.69</v>
      </c>
      <c r="M654" t="s">
        <v>3450</v>
      </c>
    </row>
    <row r="655" spans="2:13">
      <c r="B655" t="s">
        <v>3448</v>
      </c>
      <c r="C655" t="s">
        <v>3449</v>
      </c>
      <c r="D655">
        <v>18</v>
      </c>
      <c r="E655" t="s">
        <v>3433</v>
      </c>
      <c r="F655" t="s">
        <v>3347</v>
      </c>
      <c r="G655" t="s">
        <v>3399</v>
      </c>
      <c r="H655">
        <v>1945</v>
      </c>
      <c r="I655">
        <v>1988</v>
      </c>
      <c r="J655">
        <v>19.38</v>
      </c>
      <c r="K655">
        <v>17.899999999999999</v>
      </c>
      <c r="L655">
        <v>0.74</v>
      </c>
      <c r="M655" t="s">
        <v>3450</v>
      </c>
    </row>
    <row r="656" spans="2:13">
      <c r="B656" t="s">
        <v>3448</v>
      </c>
      <c r="C656" t="s">
        <v>3449</v>
      </c>
      <c r="D656">
        <v>20</v>
      </c>
      <c r="E656" t="s">
        <v>3433</v>
      </c>
      <c r="F656" t="s">
        <v>3347</v>
      </c>
      <c r="G656" t="s">
        <v>3399</v>
      </c>
      <c r="H656">
        <v>1945</v>
      </c>
      <c r="I656">
        <v>1988</v>
      </c>
      <c r="J656">
        <v>21.46</v>
      </c>
      <c r="K656">
        <v>19.920000000000002</v>
      </c>
      <c r="L656">
        <v>0.77</v>
      </c>
      <c r="M656" t="s">
        <v>3450</v>
      </c>
    </row>
    <row r="657" spans="2:13">
      <c r="B657" t="s">
        <v>3448</v>
      </c>
      <c r="C657" t="s">
        <v>3449</v>
      </c>
      <c r="D657">
        <v>21</v>
      </c>
      <c r="E657" t="s">
        <v>3433</v>
      </c>
      <c r="F657" t="s">
        <v>3347</v>
      </c>
      <c r="G657" t="s">
        <v>3399</v>
      </c>
      <c r="H657">
        <v>1945</v>
      </c>
      <c r="I657">
        <v>1988</v>
      </c>
      <c r="J657">
        <v>22.5</v>
      </c>
      <c r="K657">
        <v>20.9</v>
      </c>
      <c r="L657">
        <v>0.8</v>
      </c>
      <c r="M657" t="s">
        <v>3450</v>
      </c>
    </row>
    <row r="658" spans="2:13">
      <c r="B658" t="s">
        <v>3448</v>
      </c>
      <c r="C658" t="s">
        <v>3449</v>
      </c>
      <c r="D658">
        <v>22</v>
      </c>
      <c r="E658" t="s">
        <v>3433</v>
      </c>
      <c r="F658" t="s">
        <v>3347</v>
      </c>
      <c r="G658" t="s">
        <v>3399</v>
      </c>
      <c r="H658">
        <v>1945</v>
      </c>
      <c r="I658">
        <v>1988</v>
      </c>
      <c r="J658">
        <v>23.54</v>
      </c>
      <c r="K658">
        <v>21.92</v>
      </c>
      <c r="L658">
        <v>0.81</v>
      </c>
      <c r="M658" t="s">
        <v>3450</v>
      </c>
    </row>
    <row r="659" spans="2:13">
      <c r="B659" t="s">
        <v>3448</v>
      </c>
      <c r="C659" t="s">
        <v>3449</v>
      </c>
      <c r="D659">
        <v>24</v>
      </c>
      <c r="E659" t="s">
        <v>3433</v>
      </c>
      <c r="F659" t="s">
        <v>3347</v>
      </c>
      <c r="G659" t="s">
        <v>3399</v>
      </c>
      <c r="H659">
        <v>1945</v>
      </c>
      <c r="I659">
        <v>1988</v>
      </c>
      <c r="J659">
        <v>25.6</v>
      </c>
      <c r="K659">
        <v>23.9</v>
      </c>
      <c r="L659">
        <v>0.85</v>
      </c>
      <c r="M659" t="s">
        <v>3450</v>
      </c>
    </row>
    <row r="660" spans="2:13">
      <c r="B660" t="s">
        <v>3448</v>
      </c>
      <c r="C660" t="s">
        <v>3449</v>
      </c>
      <c r="D660">
        <v>27</v>
      </c>
      <c r="E660" t="s">
        <v>3433</v>
      </c>
      <c r="F660" t="s">
        <v>3347</v>
      </c>
      <c r="G660" t="s">
        <v>3399</v>
      </c>
      <c r="H660">
        <v>1945</v>
      </c>
      <c r="I660">
        <v>1988</v>
      </c>
      <c r="J660">
        <v>28.7</v>
      </c>
      <c r="K660">
        <v>26.78</v>
      </c>
      <c r="L660">
        <v>0.96</v>
      </c>
      <c r="M660" t="s">
        <v>3450</v>
      </c>
    </row>
    <row r="661" spans="2:13">
      <c r="B661" t="s">
        <v>3448</v>
      </c>
      <c r="C661" t="s">
        <v>3449</v>
      </c>
      <c r="D661">
        <v>3</v>
      </c>
      <c r="E661" t="s">
        <v>3436</v>
      </c>
      <c r="F661" t="s">
        <v>3342</v>
      </c>
      <c r="G661" t="s">
        <v>3434</v>
      </c>
      <c r="H661">
        <v>1945</v>
      </c>
      <c r="I661">
        <v>1988</v>
      </c>
      <c r="J661">
        <v>95.503999999999991</v>
      </c>
      <c r="K661">
        <v>80.771999999999991</v>
      </c>
      <c r="L661">
        <v>7.3659999999999988</v>
      </c>
      <c r="M661" t="s">
        <v>3450</v>
      </c>
    </row>
    <row r="662" spans="2:13">
      <c r="B662" t="s">
        <v>3448</v>
      </c>
      <c r="C662" t="s">
        <v>3449</v>
      </c>
      <c r="D662">
        <v>4</v>
      </c>
      <c r="E662" t="s">
        <v>3436</v>
      </c>
      <c r="F662" t="s">
        <v>3342</v>
      </c>
      <c r="G662" t="s">
        <v>3434</v>
      </c>
      <c r="H662">
        <v>1945</v>
      </c>
      <c r="I662">
        <v>1988</v>
      </c>
      <c r="J662">
        <v>121.92</v>
      </c>
      <c r="K662">
        <v>106.68</v>
      </c>
      <c r="L662">
        <v>7.62</v>
      </c>
      <c r="M662" t="s">
        <v>3450</v>
      </c>
    </row>
    <row r="663" spans="2:13">
      <c r="B663" t="s">
        <v>3448</v>
      </c>
      <c r="C663" t="s">
        <v>3449</v>
      </c>
      <c r="D663">
        <v>5</v>
      </c>
      <c r="E663" t="s">
        <v>3436</v>
      </c>
      <c r="F663" t="s">
        <v>3342</v>
      </c>
      <c r="G663" t="s">
        <v>3434</v>
      </c>
      <c r="H663">
        <v>1945</v>
      </c>
      <c r="I663">
        <v>1988</v>
      </c>
      <c r="J663">
        <v>149.86000000000001</v>
      </c>
      <c r="K663">
        <v>134.11199999999999</v>
      </c>
      <c r="L663">
        <v>7.8739999999999997</v>
      </c>
      <c r="M663" t="s">
        <v>3450</v>
      </c>
    </row>
    <row r="664" spans="2:13">
      <c r="B664" t="s">
        <v>3448</v>
      </c>
      <c r="C664" t="s">
        <v>3449</v>
      </c>
      <c r="D664">
        <v>6</v>
      </c>
      <c r="E664" t="s">
        <v>3436</v>
      </c>
      <c r="F664" t="s">
        <v>3342</v>
      </c>
      <c r="G664" t="s">
        <v>3434</v>
      </c>
      <c r="H664">
        <v>1945</v>
      </c>
      <c r="I664">
        <v>1988</v>
      </c>
      <c r="J664">
        <v>177.292</v>
      </c>
      <c r="K664">
        <v>160.52799999999999</v>
      </c>
      <c r="L664">
        <v>8.3819999999999997</v>
      </c>
      <c r="M664" t="s">
        <v>3450</v>
      </c>
    </row>
    <row r="665" spans="2:13">
      <c r="B665" t="s">
        <v>3448</v>
      </c>
      <c r="C665" t="s">
        <v>3449</v>
      </c>
      <c r="D665">
        <v>7</v>
      </c>
      <c r="E665" t="s">
        <v>3436</v>
      </c>
      <c r="F665" t="s">
        <v>3342</v>
      </c>
      <c r="G665" t="s">
        <v>3434</v>
      </c>
      <c r="H665">
        <v>1945</v>
      </c>
      <c r="I665">
        <v>1988</v>
      </c>
      <c r="J665">
        <v>204.72399999999999</v>
      </c>
      <c r="K665">
        <v>187.452</v>
      </c>
      <c r="L665">
        <v>8.636000000000001</v>
      </c>
      <c r="M665" t="s">
        <v>3450</v>
      </c>
    </row>
    <row r="666" spans="2:13">
      <c r="B666" t="s">
        <v>3448</v>
      </c>
      <c r="C666" t="s">
        <v>3449</v>
      </c>
      <c r="D666">
        <v>8</v>
      </c>
      <c r="E666" t="s">
        <v>3436</v>
      </c>
      <c r="F666" t="s">
        <v>3342</v>
      </c>
      <c r="G666" t="s">
        <v>3434</v>
      </c>
      <c r="H666">
        <v>1945</v>
      </c>
      <c r="I666">
        <v>1988</v>
      </c>
      <c r="J666">
        <v>232.15600000000001</v>
      </c>
      <c r="K666">
        <v>213.86799999999999</v>
      </c>
      <c r="L666">
        <v>9.1439999999999984</v>
      </c>
      <c r="M666" t="s">
        <v>3450</v>
      </c>
    </row>
    <row r="667" spans="2:13">
      <c r="B667" t="s">
        <v>3448</v>
      </c>
      <c r="C667" t="s">
        <v>3449</v>
      </c>
      <c r="D667">
        <v>9</v>
      </c>
      <c r="E667" t="s">
        <v>3436</v>
      </c>
      <c r="F667" t="s">
        <v>3342</v>
      </c>
      <c r="G667" t="s">
        <v>3434</v>
      </c>
      <c r="H667">
        <v>1945</v>
      </c>
      <c r="I667">
        <v>1988</v>
      </c>
      <c r="J667">
        <v>259.08</v>
      </c>
      <c r="K667">
        <v>240.28399999999999</v>
      </c>
      <c r="L667">
        <v>9.3979999999999997</v>
      </c>
      <c r="M667" t="s">
        <v>3450</v>
      </c>
    </row>
    <row r="668" spans="2:13">
      <c r="B668" t="s">
        <v>3448</v>
      </c>
      <c r="C668" t="s">
        <v>3449</v>
      </c>
      <c r="D668">
        <v>10</v>
      </c>
      <c r="E668" t="s">
        <v>3436</v>
      </c>
      <c r="F668" t="s">
        <v>3342</v>
      </c>
      <c r="G668" t="s">
        <v>3434</v>
      </c>
      <c r="H668">
        <v>1945</v>
      </c>
      <c r="I668">
        <v>1988</v>
      </c>
      <c r="J668">
        <v>286.00400000000002</v>
      </c>
      <c r="K668">
        <v>266.19200000000001</v>
      </c>
      <c r="L668">
        <v>9.9060000000000006</v>
      </c>
      <c r="M668" t="s">
        <v>3450</v>
      </c>
    </row>
    <row r="669" spans="2:13">
      <c r="B669" t="s">
        <v>3448</v>
      </c>
      <c r="C669" t="s">
        <v>3449</v>
      </c>
      <c r="D669">
        <v>12</v>
      </c>
      <c r="E669" t="s">
        <v>3436</v>
      </c>
      <c r="F669" t="s">
        <v>3342</v>
      </c>
      <c r="G669" t="s">
        <v>3434</v>
      </c>
      <c r="H669">
        <v>1945</v>
      </c>
      <c r="I669">
        <v>1988</v>
      </c>
      <c r="J669">
        <v>333.75599999999997</v>
      </c>
      <c r="K669">
        <v>311.91199999999998</v>
      </c>
      <c r="L669">
        <v>10.922000000000001</v>
      </c>
      <c r="M669" t="s">
        <v>3450</v>
      </c>
    </row>
    <row r="670" spans="2:13">
      <c r="B670" t="s">
        <v>3448</v>
      </c>
      <c r="C670" t="s">
        <v>3449</v>
      </c>
      <c r="D670">
        <v>14</v>
      </c>
      <c r="E670" t="s">
        <v>3436</v>
      </c>
      <c r="F670" t="s">
        <v>3342</v>
      </c>
      <c r="G670" t="s">
        <v>3434</v>
      </c>
      <c r="H670">
        <v>1945</v>
      </c>
      <c r="I670">
        <v>1988</v>
      </c>
      <c r="J670">
        <v>386.58800000000002</v>
      </c>
      <c r="K670">
        <v>363.22</v>
      </c>
      <c r="L670">
        <v>11.683999999999999</v>
      </c>
      <c r="M670" t="s">
        <v>3450</v>
      </c>
    </row>
    <row r="671" spans="2:13">
      <c r="B671" t="s">
        <v>3448</v>
      </c>
      <c r="C671" t="s">
        <v>3449</v>
      </c>
      <c r="D671">
        <v>15</v>
      </c>
      <c r="E671" t="s">
        <v>3436</v>
      </c>
      <c r="F671" t="s">
        <v>3342</v>
      </c>
      <c r="G671" t="s">
        <v>3434</v>
      </c>
      <c r="H671">
        <v>1945</v>
      </c>
      <c r="I671">
        <v>1988</v>
      </c>
      <c r="J671">
        <v>413.00400000000002</v>
      </c>
      <c r="K671">
        <v>389.12799999999999</v>
      </c>
      <c r="L671">
        <v>11.938000000000001</v>
      </c>
      <c r="M671" t="s">
        <v>3450</v>
      </c>
    </row>
    <row r="672" spans="2:13">
      <c r="B672" t="s">
        <v>3448</v>
      </c>
      <c r="C672" t="s">
        <v>3449</v>
      </c>
      <c r="D672">
        <v>16</v>
      </c>
      <c r="E672" t="s">
        <v>3436</v>
      </c>
      <c r="F672" t="s">
        <v>3342</v>
      </c>
      <c r="G672" t="s">
        <v>3434</v>
      </c>
      <c r="H672">
        <v>1945</v>
      </c>
      <c r="I672">
        <v>1988</v>
      </c>
      <c r="J672">
        <v>439.42</v>
      </c>
      <c r="K672">
        <v>414.52800000000002</v>
      </c>
      <c r="L672">
        <v>12.446</v>
      </c>
      <c r="M672" t="s">
        <v>3450</v>
      </c>
    </row>
    <row r="673" spans="2:13">
      <c r="B673" t="s">
        <v>3448</v>
      </c>
      <c r="C673" t="s">
        <v>3449</v>
      </c>
      <c r="D673">
        <v>18</v>
      </c>
      <c r="E673" t="s">
        <v>3436</v>
      </c>
      <c r="F673" t="s">
        <v>3342</v>
      </c>
      <c r="G673" t="s">
        <v>3434</v>
      </c>
      <c r="H673">
        <v>1945</v>
      </c>
      <c r="I673">
        <v>1988</v>
      </c>
      <c r="J673">
        <v>492.25200000000001</v>
      </c>
      <c r="K673">
        <v>465.83600000000001</v>
      </c>
      <c r="L673">
        <v>13.208</v>
      </c>
      <c r="M673" t="s">
        <v>3450</v>
      </c>
    </row>
    <row r="674" spans="2:13">
      <c r="B674" t="s">
        <v>3448</v>
      </c>
      <c r="C674" t="s">
        <v>3449</v>
      </c>
      <c r="D674">
        <v>20</v>
      </c>
      <c r="E674" t="s">
        <v>3436</v>
      </c>
      <c r="F674" t="s">
        <v>3342</v>
      </c>
      <c r="G674" t="s">
        <v>3434</v>
      </c>
      <c r="H674">
        <v>1945</v>
      </c>
      <c r="I674">
        <v>1988</v>
      </c>
      <c r="J674">
        <v>545.08399999999995</v>
      </c>
      <c r="K674">
        <v>517.14399999999989</v>
      </c>
      <c r="L674">
        <v>13.97</v>
      </c>
      <c r="M674" t="s">
        <v>3450</v>
      </c>
    </row>
    <row r="675" spans="2:13">
      <c r="B675" t="s">
        <v>3448</v>
      </c>
      <c r="C675" t="s">
        <v>3449</v>
      </c>
      <c r="D675">
        <v>21</v>
      </c>
      <c r="E675" t="s">
        <v>3436</v>
      </c>
      <c r="F675" t="s">
        <v>3342</v>
      </c>
      <c r="G675" t="s">
        <v>3434</v>
      </c>
      <c r="H675">
        <v>1945</v>
      </c>
      <c r="I675">
        <v>1988</v>
      </c>
      <c r="J675">
        <v>571.5</v>
      </c>
      <c r="K675">
        <v>543.05200000000002</v>
      </c>
      <c r="L675">
        <v>14.224</v>
      </c>
      <c r="M675" t="s">
        <v>3450</v>
      </c>
    </row>
    <row r="676" spans="2:13">
      <c r="B676" t="s">
        <v>3448</v>
      </c>
      <c r="C676" t="s">
        <v>3449</v>
      </c>
      <c r="D676">
        <v>22</v>
      </c>
      <c r="E676" t="s">
        <v>3436</v>
      </c>
      <c r="F676" t="s">
        <v>3342</v>
      </c>
      <c r="G676" t="s">
        <v>3434</v>
      </c>
      <c r="H676">
        <v>1945</v>
      </c>
      <c r="I676">
        <v>1988</v>
      </c>
      <c r="J676">
        <v>597.91599999999994</v>
      </c>
      <c r="K676">
        <v>568.452</v>
      </c>
      <c r="L676">
        <v>14.731999999999999</v>
      </c>
      <c r="M676" t="s">
        <v>3450</v>
      </c>
    </row>
    <row r="677" spans="2:13">
      <c r="B677" t="s">
        <v>3448</v>
      </c>
      <c r="C677" t="s">
        <v>3449</v>
      </c>
      <c r="D677">
        <v>24</v>
      </c>
      <c r="E677" t="s">
        <v>3436</v>
      </c>
      <c r="F677" t="s">
        <v>3342</v>
      </c>
      <c r="G677" t="s">
        <v>3434</v>
      </c>
      <c r="H677">
        <v>1945</v>
      </c>
      <c r="I677">
        <v>1988</v>
      </c>
      <c r="J677">
        <v>650.24</v>
      </c>
      <c r="K677">
        <v>619.76</v>
      </c>
      <c r="L677">
        <v>15.24</v>
      </c>
      <c r="M677" t="s">
        <v>3450</v>
      </c>
    </row>
    <row r="678" spans="2:13">
      <c r="B678" t="s">
        <v>3448</v>
      </c>
      <c r="C678" t="s">
        <v>3449</v>
      </c>
      <c r="D678">
        <v>27</v>
      </c>
      <c r="E678" t="s">
        <v>3436</v>
      </c>
      <c r="F678" t="s">
        <v>3342</v>
      </c>
      <c r="G678" t="s">
        <v>3434</v>
      </c>
      <c r="H678">
        <v>1945</v>
      </c>
      <c r="I678">
        <v>1988</v>
      </c>
      <c r="J678">
        <v>728.98</v>
      </c>
      <c r="K678">
        <v>694.43600000000004</v>
      </c>
      <c r="L678">
        <v>17.271999999999998</v>
      </c>
      <c r="M678" t="s">
        <v>3450</v>
      </c>
    </row>
    <row r="679" spans="2:13">
      <c r="B679" t="s">
        <v>3448</v>
      </c>
      <c r="C679" t="s">
        <v>3449</v>
      </c>
      <c r="D679">
        <v>3</v>
      </c>
      <c r="E679" t="s">
        <v>3436</v>
      </c>
      <c r="F679" t="s">
        <v>3345</v>
      </c>
      <c r="G679" t="s">
        <v>3398</v>
      </c>
      <c r="H679">
        <v>1945</v>
      </c>
      <c r="I679">
        <v>1988</v>
      </c>
      <c r="J679">
        <v>95.503999999999991</v>
      </c>
      <c r="K679">
        <v>80.771999999999991</v>
      </c>
      <c r="L679">
        <v>7.3659999999999988</v>
      </c>
      <c r="M679" t="s">
        <v>3450</v>
      </c>
    </row>
    <row r="680" spans="2:13">
      <c r="B680" t="s">
        <v>3448</v>
      </c>
      <c r="C680" t="s">
        <v>3449</v>
      </c>
      <c r="D680">
        <v>4</v>
      </c>
      <c r="E680" t="s">
        <v>3436</v>
      </c>
      <c r="F680" t="s">
        <v>3345</v>
      </c>
      <c r="G680" t="s">
        <v>3398</v>
      </c>
      <c r="H680">
        <v>1945</v>
      </c>
      <c r="I680">
        <v>1988</v>
      </c>
      <c r="J680">
        <v>121.92</v>
      </c>
      <c r="K680">
        <v>106.172</v>
      </c>
      <c r="L680">
        <v>7.8739999999999997</v>
      </c>
      <c r="M680" t="s">
        <v>3450</v>
      </c>
    </row>
    <row r="681" spans="2:13">
      <c r="B681" t="s">
        <v>3448</v>
      </c>
      <c r="C681" t="s">
        <v>3449</v>
      </c>
      <c r="D681">
        <v>5</v>
      </c>
      <c r="E681" t="s">
        <v>3436</v>
      </c>
      <c r="F681" t="s">
        <v>3345</v>
      </c>
      <c r="G681" t="s">
        <v>3398</v>
      </c>
      <c r="H681">
        <v>1945</v>
      </c>
      <c r="I681">
        <v>1988</v>
      </c>
      <c r="J681">
        <v>149.86000000000001</v>
      </c>
      <c r="K681">
        <v>132.58799999999999</v>
      </c>
      <c r="L681">
        <v>8.636000000000001</v>
      </c>
      <c r="M681" t="s">
        <v>3450</v>
      </c>
    </row>
    <row r="682" spans="2:13">
      <c r="B682" t="s">
        <v>3448</v>
      </c>
      <c r="C682" t="s">
        <v>3449</v>
      </c>
      <c r="D682">
        <v>6</v>
      </c>
      <c r="E682" t="s">
        <v>3436</v>
      </c>
      <c r="F682" t="s">
        <v>3345</v>
      </c>
      <c r="G682" t="s">
        <v>3398</v>
      </c>
      <c r="H682">
        <v>1945</v>
      </c>
      <c r="I682">
        <v>1988</v>
      </c>
      <c r="J682">
        <v>177.292</v>
      </c>
      <c r="K682">
        <v>158.49600000000001</v>
      </c>
      <c r="L682">
        <v>9.3979999999999997</v>
      </c>
      <c r="M682" t="s">
        <v>3450</v>
      </c>
    </row>
    <row r="683" spans="2:13">
      <c r="B683" t="s">
        <v>3448</v>
      </c>
      <c r="C683" t="s">
        <v>3449</v>
      </c>
      <c r="D683">
        <v>7</v>
      </c>
      <c r="E683" t="s">
        <v>3436</v>
      </c>
      <c r="F683" t="s">
        <v>3345</v>
      </c>
      <c r="G683" t="s">
        <v>3398</v>
      </c>
      <c r="H683">
        <v>1945</v>
      </c>
      <c r="I683">
        <v>1988</v>
      </c>
      <c r="J683">
        <v>204.72399999999999</v>
      </c>
      <c r="K683">
        <v>184.404</v>
      </c>
      <c r="L683">
        <v>10.16</v>
      </c>
      <c r="M683" t="s">
        <v>3450</v>
      </c>
    </row>
    <row r="684" spans="2:13">
      <c r="B684" t="s">
        <v>3448</v>
      </c>
      <c r="C684" t="s">
        <v>3449</v>
      </c>
      <c r="D684">
        <v>8</v>
      </c>
      <c r="E684" t="s">
        <v>3436</v>
      </c>
      <c r="F684" t="s">
        <v>3345</v>
      </c>
      <c r="G684" t="s">
        <v>3398</v>
      </c>
      <c r="H684">
        <v>1945</v>
      </c>
      <c r="I684">
        <v>1988</v>
      </c>
      <c r="J684">
        <v>232.15600000000001</v>
      </c>
      <c r="K684">
        <v>210.31200000000001</v>
      </c>
      <c r="L684">
        <v>10.922000000000001</v>
      </c>
      <c r="M684" t="s">
        <v>3450</v>
      </c>
    </row>
    <row r="685" spans="2:13">
      <c r="B685" t="s">
        <v>3448</v>
      </c>
      <c r="C685" t="s">
        <v>3449</v>
      </c>
      <c r="D685">
        <v>9</v>
      </c>
      <c r="E685" t="s">
        <v>3436</v>
      </c>
      <c r="F685" t="s">
        <v>3345</v>
      </c>
      <c r="G685" t="s">
        <v>3398</v>
      </c>
      <c r="H685">
        <v>1945</v>
      </c>
      <c r="I685">
        <v>1988</v>
      </c>
      <c r="J685">
        <v>259.08</v>
      </c>
      <c r="K685">
        <v>236.22</v>
      </c>
      <c r="L685">
        <v>11.43</v>
      </c>
      <c r="M685" t="s">
        <v>3450</v>
      </c>
    </row>
    <row r="686" spans="2:13">
      <c r="B686" t="s">
        <v>3448</v>
      </c>
      <c r="C686" t="s">
        <v>3449</v>
      </c>
      <c r="D686">
        <v>10</v>
      </c>
      <c r="E686" t="s">
        <v>3436</v>
      </c>
      <c r="F686" t="s">
        <v>3345</v>
      </c>
      <c r="G686" t="s">
        <v>3398</v>
      </c>
      <c r="H686">
        <v>1945</v>
      </c>
      <c r="I686">
        <v>1988</v>
      </c>
      <c r="J686">
        <v>286.00400000000002</v>
      </c>
      <c r="K686">
        <v>262.12799999999999</v>
      </c>
      <c r="L686">
        <v>11.938000000000001</v>
      </c>
      <c r="M686" t="s">
        <v>3450</v>
      </c>
    </row>
    <row r="687" spans="2:13">
      <c r="B687" t="s">
        <v>3448</v>
      </c>
      <c r="C687" t="s">
        <v>3449</v>
      </c>
      <c r="D687">
        <v>12</v>
      </c>
      <c r="E687" t="s">
        <v>3436</v>
      </c>
      <c r="F687" t="s">
        <v>3345</v>
      </c>
      <c r="G687" t="s">
        <v>3398</v>
      </c>
      <c r="H687">
        <v>1945</v>
      </c>
      <c r="I687">
        <v>1988</v>
      </c>
      <c r="J687">
        <v>333.75599999999997</v>
      </c>
      <c r="K687">
        <v>307.33999999999997</v>
      </c>
      <c r="L687">
        <v>13.208</v>
      </c>
      <c r="M687" t="s">
        <v>3450</v>
      </c>
    </row>
    <row r="688" spans="2:13">
      <c r="B688" t="s">
        <v>3448</v>
      </c>
      <c r="C688" t="s">
        <v>3449</v>
      </c>
      <c r="D688">
        <v>14</v>
      </c>
      <c r="E688" t="s">
        <v>3436</v>
      </c>
      <c r="F688" t="s">
        <v>3345</v>
      </c>
      <c r="G688" t="s">
        <v>3398</v>
      </c>
      <c r="H688">
        <v>1945</v>
      </c>
      <c r="I688">
        <v>1988</v>
      </c>
      <c r="J688">
        <v>386.58800000000002</v>
      </c>
      <c r="K688">
        <v>358.14</v>
      </c>
      <c r="L688">
        <v>14.224</v>
      </c>
      <c r="M688" t="s">
        <v>3450</v>
      </c>
    </row>
    <row r="689" spans="2:13">
      <c r="B689" t="s">
        <v>3448</v>
      </c>
      <c r="C689" t="s">
        <v>3449</v>
      </c>
      <c r="D689">
        <v>15</v>
      </c>
      <c r="E689" t="s">
        <v>3436</v>
      </c>
      <c r="F689" t="s">
        <v>3345</v>
      </c>
      <c r="G689" t="s">
        <v>3398</v>
      </c>
      <c r="H689">
        <v>1945</v>
      </c>
      <c r="I689">
        <v>1988</v>
      </c>
      <c r="J689">
        <v>413.00400000000002</v>
      </c>
      <c r="K689">
        <v>383.54</v>
      </c>
      <c r="L689">
        <v>14.731999999999999</v>
      </c>
      <c r="M689" t="s">
        <v>3450</v>
      </c>
    </row>
    <row r="690" spans="2:13">
      <c r="B690" t="s">
        <v>3448</v>
      </c>
      <c r="C690" t="s">
        <v>3449</v>
      </c>
      <c r="D690">
        <v>16</v>
      </c>
      <c r="E690" t="s">
        <v>3436</v>
      </c>
      <c r="F690" t="s">
        <v>3345</v>
      </c>
      <c r="G690" t="s">
        <v>3398</v>
      </c>
      <c r="H690">
        <v>1945</v>
      </c>
      <c r="I690">
        <v>1988</v>
      </c>
      <c r="J690">
        <v>439.42</v>
      </c>
      <c r="K690">
        <v>408.94</v>
      </c>
      <c r="L690">
        <v>15.24</v>
      </c>
      <c r="M690" t="s">
        <v>3450</v>
      </c>
    </row>
    <row r="691" spans="2:13">
      <c r="B691" t="s">
        <v>3448</v>
      </c>
      <c r="C691" t="s">
        <v>3449</v>
      </c>
      <c r="D691">
        <v>18</v>
      </c>
      <c r="E691" t="s">
        <v>3436</v>
      </c>
      <c r="F691" t="s">
        <v>3345</v>
      </c>
      <c r="G691" t="s">
        <v>3398</v>
      </c>
      <c r="H691">
        <v>1945</v>
      </c>
      <c r="I691">
        <v>1988</v>
      </c>
      <c r="J691">
        <v>492.25200000000001</v>
      </c>
      <c r="K691">
        <v>459.74</v>
      </c>
      <c r="L691">
        <v>16.256</v>
      </c>
      <c r="M691" t="s">
        <v>3450</v>
      </c>
    </row>
    <row r="692" spans="2:13">
      <c r="B692" t="s">
        <v>3448</v>
      </c>
      <c r="C692" t="s">
        <v>3449</v>
      </c>
      <c r="D692">
        <v>20</v>
      </c>
      <c r="E692" t="s">
        <v>3436</v>
      </c>
      <c r="F692" t="s">
        <v>3345</v>
      </c>
      <c r="G692" t="s">
        <v>3398</v>
      </c>
      <c r="H692">
        <v>1945</v>
      </c>
      <c r="I692">
        <v>1988</v>
      </c>
      <c r="J692">
        <v>545.08399999999995</v>
      </c>
      <c r="K692">
        <v>511.04799999999989</v>
      </c>
      <c r="L692">
        <v>17.018000000000001</v>
      </c>
      <c r="M692" t="s">
        <v>3450</v>
      </c>
    </row>
    <row r="693" spans="2:13">
      <c r="B693" t="s">
        <v>3448</v>
      </c>
      <c r="C693" t="s">
        <v>3449</v>
      </c>
      <c r="D693">
        <v>21</v>
      </c>
      <c r="E693" t="s">
        <v>3436</v>
      </c>
      <c r="F693" t="s">
        <v>3345</v>
      </c>
      <c r="G693" t="s">
        <v>3398</v>
      </c>
      <c r="H693">
        <v>1945</v>
      </c>
      <c r="I693">
        <v>1988</v>
      </c>
      <c r="J693">
        <v>571.5</v>
      </c>
      <c r="K693">
        <v>536.44799999999998</v>
      </c>
      <c r="L693">
        <v>17.526</v>
      </c>
      <c r="M693" t="s">
        <v>3450</v>
      </c>
    </row>
    <row r="694" spans="2:13">
      <c r="B694" t="s">
        <v>3448</v>
      </c>
      <c r="C694" t="s">
        <v>3449</v>
      </c>
      <c r="D694">
        <v>22</v>
      </c>
      <c r="E694" t="s">
        <v>3436</v>
      </c>
      <c r="F694" t="s">
        <v>3345</v>
      </c>
      <c r="G694" t="s">
        <v>3398</v>
      </c>
      <c r="H694">
        <v>1945</v>
      </c>
      <c r="I694">
        <v>1988</v>
      </c>
      <c r="J694">
        <v>597.91599999999994</v>
      </c>
      <c r="K694">
        <v>562.35599999999999</v>
      </c>
      <c r="L694">
        <v>17.78</v>
      </c>
      <c r="M694" t="s">
        <v>3450</v>
      </c>
    </row>
    <row r="695" spans="2:13">
      <c r="B695" t="s">
        <v>3448</v>
      </c>
      <c r="C695" t="s">
        <v>3449</v>
      </c>
      <c r="D695">
        <v>24</v>
      </c>
      <c r="E695" t="s">
        <v>3436</v>
      </c>
      <c r="F695" t="s">
        <v>3345</v>
      </c>
      <c r="G695" t="s">
        <v>3398</v>
      </c>
      <c r="H695">
        <v>1945</v>
      </c>
      <c r="I695">
        <v>1988</v>
      </c>
      <c r="J695">
        <v>650.24</v>
      </c>
      <c r="K695">
        <v>612.64800000000002</v>
      </c>
      <c r="L695">
        <v>18.795999999999999</v>
      </c>
      <c r="M695" t="s">
        <v>3450</v>
      </c>
    </row>
    <row r="696" spans="2:13">
      <c r="B696" t="s">
        <v>3448</v>
      </c>
      <c r="C696" t="s">
        <v>3449</v>
      </c>
      <c r="D696">
        <v>27</v>
      </c>
      <c r="E696" t="s">
        <v>3436</v>
      </c>
      <c r="F696" t="s">
        <v>3345</v>
      </c>
      <c r="G696" t="s">
        <v>3398</v>
      </c>
      <c r="H696">
        <v>1945</v>
      </c>
      <c r="I696">
        <v>1988</v>
      </c>
      <c r="J696">
        <v>728.98</v>
      </c>
      <c r="K696">
        <v>686.81600000000003</v>
      </c>
      <c r="L696">
        <v>21.082000000000001</v>
      </c>
      <c r="M696" t="s">
        <v>3450</v>
      </c>
    </row>
    <row r="697" spans="2:13">
      <c r="B697" t="s">
        <v>3448</v>
      </c>
      <c r="C697" t="s">
        <v>3449</v>
      </c>
      <c r="D697">
        <v>3</v>
      </c>
      <c r="E697" t="s">
        <v>3436</v>
      </c>
      <c r="F697" t="s">
        <v>3347</v>
      </c>
      <c r="G697" t="s">
        <v>3399</v>
      </c>
      <c r="H697">
        <v>1945</v>
      </c>
      <c r="I697">
        <v>1988</v>
      </c>
      <c r="J697">
        <v>95.503999999999991</v>
      </c>
      <c r="K697">
        <v>80.263999999999996</v>
      </c>
      <c r="L697">
        <v>7.62</v>
      </c>
      <c r="M697" t="s">
        <v>3450</v>
      </c>
    </row>
    <row r="698" spans="2:13">
      <c r="B698" t="s">
        <v>3448</v>
      </c>
      <c r="C698" t="s">
        <v>3449</v>
      </c>
      <c r="D698">
        <v>4</v>
      </c>
      <c r="E698" t="s">
        <v>3436</v>
      </c>
      <c r="F698" t="s">
        <v>3347</v>
      </c>
      <c r="G698" t="s">
        <v>3399</v>
      </c>
      <c r="H698">
        <v>1945</v>
      </c>
      <c r="I698">
        <v>1988</v>
      </c>
      <c r="J698">
        <v>121.92</v>
      </c>
      <c r="K698">
        <v>104.14</v>
      </c>
      <c r="L698">
        <v>8.89</v>
      </c>
      <c r="M698" t="s">
        <v>3450</v>
      </c>
    </row>
    <row r="699" spans="2:13">
      <c r="B699" t="s">
        <v>3448</v>
      </c>
      <c r="C699" t="s">
        <v>3449</v>
      </c>
      <c r="D699">
        <v>5</v>
      </c>
      <c r="E699" t="s">
        <v>3436</v>
      </c>
      <c r="F699" t="s">
        <v>3347</v>
      </c>
      <c r="G699" t="s">
        <v>3399</v>
      </c>
      <c r="H699">
        <v>1945</v>
      </c>
      <c r="I699">
        <v>1988</v>
      </c>
      <c r="J699">
        <v>149.86000000000001</v>
      </c>
      <c r="K699">
        <v>130.048</v>
      </c>
      <c r="L699">
        <v>9.9060000000000006</v>
      </c>
      <c r="M699" t="s">
        <v>3450</v>
      </c>
    </row>
    <row r="700" spans="2:13">
      <c r="B700" t="s">
        <v>3448</v>
      </c>
      <c r="C700" t="s">
        <v>3449</v>
      </c>
      <c r="D700">
        <v>6</v>
      </c>
      <c r="E700" t="s">
        <v>3436</v>
      </c>
      <c r="F700" t="s">
        <v>3347</v>
      </c>
      <c r="G700" t="s">
        <v>3399</v>
      </c>
      <c r="H700">
        <v>1945</v>
      </c>
      <c r="I700">
        <v>1988</v>
      </c>
      <c r="J700">
        <v>177.292</v>
      </c>
      <c r="K700">
        <v>155.44800000000001</v>
      </c>
      <c r="L700">
        <v>10.922000000000001</v>
      </c>
      <c r="M700" t="s">
        <v>3450</v>
      </c>
    </row>
    <row r="701" spans="2:13">
      <c r="B701" t="s">
        <v>3448</v>
      </c>
      <c r="C701" t="s">
        <v>3449</v>
      </c>
      <c r="D701">
        <v>7</v>
      </c>
      <c r="E701" t="s">
        <v>3436</v>
      </c>
      <c r="F701" t="s">
        <v>3347</v>
      </c>
      <c r="G701" t="s">
        <v>3399</v>
      </c>
      <c r="H701">
        <v>1945</v>
      </c>
      <c r="I701">
        <v>1988</v>
      </c>
      <c r="J701">
        <v>204.72399999999999</v>
      </c>
      <c r="K701">
        <v>181.35599999999999</v>
      </c>
      <c r="L701">
        <v>11.683999999999999</v>
      </c>
      <c r="M701" t="s">
        <v>3450</v>
      </c>
    </row>
    <row r="702" spans="2:13">
      <c r="B702" t="s">
        <v>3448</v>
      </c>
      <c r="C702" t="s">
        <v>3449</v>
      </c>
      <c r="D702">
        <v>8</v>
      </c>
      <c r="E702" t="s">
        <v>3436</v>
      </c>
      <c r="F702" t="s">
        <v>3347</v>
      </c>
      <c r="G702" t="s">
        <v>3399</v>
      </c>
      <c r="H702">
        <v>1945</v>
      </c>
      <c r="I702">
        <v>1988</v>
      </c>
      <c r="J702">
        <v>232.15600000000001</v>
      </c>
      <c r="K702">
        <v>207.26400000000001</v>
      </c>
      <c r="L702">
        <v>12.446</v>
      </c>
      <c r="M702" t="s">
        <v>3450</v>
      </c>
    </row>
    <row r="703" spans="2:13">
      <c r="B703" t="s">
        <v>3448</v>
      </c>
      <c r="C703" t="s">
        <v>3449</v>
      </c>
      <c r="D703">
        <v>9</v>
      </c>
      <c r="E703" t="s">
        <v>3436</v>
      </c>
      <c r="F703" t="s">
        <v>3347</v>
      </c>
      <c r="G703" t="s">
        <v>3399</v>
      </c>
      <c r="H703">
        <v>1945</v>
      </c>
      <c r="I703">
        <v>1988</v>
      </c>
      <c r="J703">
        <v>259.08</v>
      </c>
      <c r="K703">
        <v>232.66399999999999</v>
      </c>
      <c r="L703">
        <v>13.208</v>
      </c>
      <c r="M703" t="s">
        <v>3450</v>
      </c>
    </row>
    <row r="704" spans="2:13">
      <c r="B704" t="s">
        <v>3448</v>
      </c>
      <c r="C704" t="s">
        <v>3449</v>
      </c>
      <c r="D704">
        <v>10</v>
      </c>
      <c r="E704" t="s">
        <v>3436</v>
      </c>
      <c r="F704" t="s">
        <v>3347</v>
      </c>
      <c r="G704" t="s">
        <v>3399</v>
      </c>
      <c r="H704">
        <v>1945</v>
      </c>
      <c r="I704">
        <v>1988</v>
      </c>
      <c r="J704">
        <v>286.00400000000002</v>
      </c>
      <c r="K704">
        <v>258.06400000000002</v>
      </c>
      <c r="L704">
        <v>13.97</v>
      </c>
      <c r="M704" t="s">
        <v>3450</v>
      </c>
    </row>
    <row r="705" spans="1:13">
      <c r="B705" t="s">
        <v>3448</v>
      </c>
      <c r="C705" t="s">
        <v>3449</v>
      </c>
      <c r="D705">
        <v>12</v>
      </c>
      <c r="E705" t="s">
        <v>3436</v>
      </c>
      <c r="F705" t="s">
        <v>3347</v>
      </c>
      <c r="G705" t="s">
        <v>3399</v>
      </c>
      <c r="H705">
        <v>1945</v>
      </c>
      <c r="I705">
        <v>1988</v>
      </c>
      <c r="J705">
        <v>333.75599999999997</v>
      </c>
      <c r="K705">
        <v>303.27600000000001</v>
      </c>
      <c r="L705">
        <v>15.24</v>
      </c>
      <c r="M705" t="s">
        <v>3450</v>
      </c>
    </row>
    <row r="706" spans="1:13">
      <c r="B706" t="s">
        <v>3448</v>
      </c>
      <c r="C706" t="s">
        <v>3449</v>
      </c>
      <c r="D706">
        <v>14</v>
      </c>
      <c r="E706" t="s">
        <v>3436</v>
      </c>
      <c r="F706" t="s">
        <v>3347</v>
      </c>
      <c r="G706" t="s">
        <v>3399</v>
      </c>
      <c r="H706">
        <v>1945</v>
      </c>
      <c r="I706">
        <v>1988</v>
      </c>
      <c r="J706">
        <v>386.58800000000002</v>
      </c>
      <c r="K706">
        <v>353.56799999999998</v>
      </c>
      <c r="L706">
        <v>16.510000000000002</v>
      </c>
      <c r="M706" t="s">
        <v>3450</v>
      </c>
    </row>
    <row r="707" spans="1:13">
      <c r="B707" t="s">
        <v>3448</v>
      </c>
      <c r="C707" t="s">
        <v>3449</v>
      </c>
      <c r="D707">
        <v>15</v>
      </c>
      <c r="E707" t="s">
        <v>3436</v>
      </c>
      <c r="F707" t="s">
        <v>3347</v>
      </c>
      <c r="G707" t="s">
        <v>3399</v>
      </c>
      <c r="H707">
        <v>1945</v>
      </c>
      <c r="I707">
        <v>1988</v>
      </c>
      <c r="J707">
        <v>413.00400000000002</v>
      </c>
      <c r="K707">
        <v>378.96800000000002</v>
      </c>
      <c r="L707">
        <v>17.018000000000001</v>
      </c>
      <c r="M707" t="s">
        <v>3450</v>
      </c>
    </row>
    <row r="708" spans="1:13">
      <c r="B708" t="s">
        <v>3448</v>
      </c>
      <c r="C708" t="s">
        <v>3449</v>
      </c>
      <c r="D708">
        <v>16</v>
      </c>
      <c r="E708" t="s">
        <v>3436</v>
      </c>
      <c r="F708" t="s">
        <v>3347</v>
      </c>
      <c r="G708" t="s">
        <v>3399</v>
      </c>
      <c r="H708">
        <v>1945</v>
      </c>
      <c r="I708">
        <v>1988</v>
      </c>
      <c r="J708">
        <v>439.42</v>
      </c>
      <c r="K708">
        <v>404.36800000000011</v>
      </c>
      <c r="L708">
        <v>17.526</v>
      </c>
      <c r="M708" t="s">
        <v>3450</v>
      </c>
    </row>
    <row r="709" spans="1:13">
      <c r="B709" t="s">
        <v>3448</v>
      </c>
      <c r="C709" t="s">
        <v>3449</v>
      </c>
      <c r="D709">
        <v>18</v>
      </c>
      <c r="E709" t="s">
        <v>3436</v>
      </c>
      <c r="F709" t="s">
        <v>3347</v>
      </c>
      <c r="G709" t="s">
        <v>3399</v>
      </c>
      <c r="H709">
        <v>1945</v>
      </c>
      <c r="I709">
        <v>1988</v>
      </c>
      <c r="J709">
        <v>492.25200000000001</v>
      </c>
      <c r="K709">
        <v>454.66</v>
      </c>
      <c r="L709">
        <v>18.795999999999999</v>
      </c>
      <c r="M709" t="s">
        <v>3450</v>
      </c>
    </row>
    <row r="710" spans="1:13">
      <c r="B710" t="s">
        <v>3448</v>
      </c>
      <c r="C710" t="s">
        <v>3449</v>
      </c>
      <c r="D710">
        <v>20</v>
      </c>
      <c r="E710" t="s">
        <v>3436</v>
      </c>
      <c r="F710" t="s">
        <v>3347</v>
      </c>
      <c r="G710" t="s">
        <v>3399</v>
      </c>
      <c r="H710">
        <v>1945</v>
      </c>
      <c r="I710">
        <v>1988</v>
      </c>
      <c r="J710">
        <v>545.08399999999995</v>
      </c>
      <c r="K710">
        <v>505.96800000000002</v>
      </c>
      <c r="L710">
        <v>19.558</v>
      </c>
      <c r="M710" t="s">
        <v>3450</v>
      </c>
    </row>
    <row r="711" spans="1:13">
      <c r="B711" t="s">
        <v>3448</v>
      </c>
      <c r="C711" t="s">
        <v>3449</v>
      </c>
      <c r="D711">
        <v>21</v>
      </c>
      <c r="E711" t="s">
        <v>3436</v>
      </c>
      <c r="F711" t="s">
        <v>3347</v>
      </c>
      <c r="G711" t="s">
        <v>3399</v>
      </c>
      <c r="H711">
        <v>1945</v>
      </c>
      <c r="I711">
        <v>1988</v>
      </c>
      <c r="J711">
        <v>571.5</v>
      </c>
      <c r="K711">
        <v>530.86</v>
      </c>
      <c r="L711">
        <v>20.32</v>
      </c>
      <c r="M711" t="s">
        <v>3450</v>
      </c>
    </row>
    <row r="712" spans="1:13">
      <c r="B712" t="s">
        <v>3448</v>
      </c>
      <c r="C712" t="s">
        <v>3449</v>
      </c>
      <c r="D712">
        <v>22</v>
      </c>
      <c r="E712" t="s">
        <v>3436</v>
      </c>
      <c r="F712" t="s">
        <v>3347</v>
      </c>
      <c r="G712" t="s">
        <v>3399</v>
      </c>
      <c r="H712">
        <v>1945</v>
      </c>
      <c r="I712">
        <v>1988</v>
      </c>
      <c r="J712">
        <v>597.91599999999994</v>
      </c>
      <c r="K712">
        <v>556.76799999999992</v>
      </c>
      <c r="L712">
        <v>20.574000000000002</v>
      </c>
      <c r="M712" t="s">
        <v>3450</v>
      </c>
    </row>
    <row r="713" spans="1:13">
      <c r="B713" t="s">
        <v>3448</v>
      </c>
      <c r="C713" t="s">
        <v>3449</v>
      </c>
      <c r="D713">
        <v>24</v>
      </c>
      <c r="E713" t="s">
        <v>3436</v>
      </c>
      <c r="F713" t="s">
        <v>3347</v>
      </c>
      <c r="G713" t="s">
        <v>3399</v>
      </c>
      <c r="H713">
        <v>1945</v>
      </c>
      <c r="I713">
        <v>1988</v>
      </c>
      <c r="J713">
        <v>650.24</v>
      </c>
      <c r="K713">
        <v>607.05999999999995</v>
      </c>
      <c r="L713">
        <v>21.59</v>
      </c>
      <c r="M713" t="s">
        <v>3450</v>
      </c>
    </row>
    <row r="714" spans="1:13">
      <c r="B714" t="s">
        <v>3448</v>
      </c>
      <c r="C714" t="s">
        <v>3449</v>
      </c>
      <c r="D714">
        <v>27</v>
      </c>
      <c r="E714" t="s">
        <v>3436</v>
      </c>
      <c r="F714" t="s">
        <v>3347</v>
      </c>
      <c r="G714" t="s">
        <v>3399</v>
      </c>
      <c r="H714">
        <v>1945</v>
      </c>
      <c r="I714">
        <v>1988</v>
      </c>
      <c r="J714">
        <v>728.98</v>
      </c>
      <c r="K714">
        <v>680.21199999999999</v>
      </c>
      <c r="L714">
        <v>24.384</v>
      </c>
      <c r="M714" t="s">
        <v>3450</v>
      </c>
    </row>
    <row r="717" spans="1:13">
      <c r="A717" t="s">
        <v>3451</v>
      </c>
    </row>
    <row r="722" spans="2:25">
      <c r="F722" t="s">
        <v>3452</v>
      </c>
      <c r="J722" t="s">
        <v>3453</v>
      </c>
      <c r="N722" t="s">
        <v>3454</v>
      </c>
      <c r="V722" t="s">
        <v>3455</v>
      </c>
    </row>
    <row r="723" spans="2:25">
      <c r="F723" t="s">
        <v>3456</v>
      </c>
      <c r="J723" t="s">
        <v>3456</v>
      </c>
      <c r="N723" t="s">
        <v>3457</v>
      </c>
      <c r="R723" t="s">
        <v>3458</v>
      </c>
      <c r="V723" t="s">
        <v>3459</v>
      </c>
    </row>
    <row r="724" spans="2:25">
      <c r="B724" t="s">
        <v>3460</v>
      </c>
      <c r="C724" t="s">
        <v>3392</v>
      </c>
      <c r="D724" t="s">
        <v>3393</v>
      </c>
      <c r="E724" t="s">
        <v>3394</v>
      </c>
      <c r="H724" t="s">
        <v>3395</v>
      </c>
      <c r="I724" t="s">
        <v>3396</v>
      </c>
      <c r="L724" t="s">
        <v>3395</v>
      </c>
      <c r="M724" t="s">
        <v>3396</v>
      </c>
      <c r="P724" t="s">
        <v>3395</v>
      </c>
      <c r="Q724" t="s">
        <v>3396</v>
      </c>
      <c r="T724" t="s">
        <v>3395</v>
      </c>
      <c r="U724" t="s">
        <v>3396</v>
      </c>
      <c r="X724" t="s">
        <v>3395</v>
      </c>
      <c r="Y724" t="s">
        <v>3396</v>
      </c>
    </row>
    <row r="725" spans="2:25">
      <c r="B725">
        <v>80</v>
      </c>
      <c r="C725">
        <v>98</v>
      </c>
      <c r="D725">
        <v>94.5</v>
      </c>
      <c r="E725">
        <v>99.5</v>
      </c>
      <c r="F725" t="s">
        <v>3461</v>
      </c>
      <c r="G725">
        <v>16</v>
      </c>
      <c r="H725">
        <v>5.84</v>
      </c>
      <c r="I725">
        <v>7.2</v>
      </c>
      <c r="J725" t="s">
        <v>2187</v>
      </c>
      <c r="K725">
        <v>20</v>
      </c>
      <c r="L725">
        <v>6.5049999999999999</v>
      </c>
      <c r="M725">
        <v>7.9</v>
      </c>
      <c r="N725" t="s">
        <v>3462</v>
      </c>
      <c r="O725">
        <v>25</v>
      </c>
      <c r="P725">
        <v>7.17</v>
      </c>
      <c r="Q725">
        <v>8.6</v>
      </c>
      <c r="R725" t="s">
        <v>3463</v>
      </c>
      <c r="S725">
        <v>25</v>
      </c>
      <c r="T725">
        <v>7.17</v>
      </c>
      <c r="U725">
        <v>8.6</v>
      </c>
      <c r="V725" t="s">
        <v>3243</v>
      </c>
      <c r="W725">
        <v>25</v>
      </c>
      <c r="X725">
        <v>8.5</v>
      </c>
      <c r="Y725">
        <v>10</v>
      </c>
    </row>
    <row r="726" spans="2:25">
      <c r="B726">
        <v>100</v>
      </c>
      <c r="C726">
        <v>118</v>
      </c>
      <c r="D726">
        <v>114.5</v>
      </c>
      <c r="E726">
        <v>119.5</v>
      </c>
      <c r="F726" t="s">
        <v>3461</v>
      </c>
      <c r="G726">
        <v>16</v>
      </c>
      <c r="H726">
        <v>6.125</v>
      </c>
      <c r="I726">
        <v>7.5</v>
      </c>
      <c r="J726" t="s">
        <v>2187</v>
      </c>
      <c r="K726">
        <v>20</v>
      </c>
      <c r="L726">
        <v>6.8849999999999998</v>
      </c>
      <c r="M726">
        <v>8.3000000000000007</v>
      </c>
      <c r="N726" t="s">
        <v>3462</v>
      </c>
      <c r="O726">
        <v>25</v>
      </c>
      <c r="P726">
        <v>7.55</v>
      </c>
      <c r="Q726">
        <v>9</v>
      </c>
      <c r="R726" t="s">
        <v>3463</v>
      </c>
      <c r="S726">
        <v>25</v>
      </c>
      <c r="T726">
        <v>7.55</v>
      </c>
      <c r="U726">
        <v>9</v>
      </c>
      <c r="V726" t="s">
        <v>3243</v>
      </c>
      <c r="W726">
        <v>25</v>
      </c>
      <c r="X726">
        <v>8.9749999999999996</v>
      </c>
      <c r="Y726">
        <v>10.5</v>
      </c>
    </row>
    <row r="727" spans="2:25">
      <c r="B727">
        <v>150</v>
      </c>
      <c r="C727">
        <v>170</v>
      </c>
      <c r="D727">
        <v>166.5</v>
      </c>
      <c r="E727">
        <v>171.5</v>
      </c>
      <c r="F727" t="s">
        <v>3461</v>
      </c>
      <c r="G727">
        <v>16</v>
      </c>
      <c r="H727">
        <v>6.8849999999999998</v>
      </c>
      <c r="I727">
        <v>8.3000000000000007</v>
      </c>
      <c r="J727" t="s">
        <v>2187</v>
      </c>
      <c r="K727">
        <v>20</v>
      </c>
      <c r="L727">
        <v>7.74</v>
      </c>
      <c r="M727">
        <v>9.1999999999999993</v>
      </c>
      <c r="N727" t="s">
        <v>3462</v>
      </c>
      <c r="O727">
        <v>25</v>
      </c>
      <c r="P727">
        <v>8.5</v>
      </c>
      <c r="Q727">
        <v>10</v>
      </c>
      <c r="R727" t="s">
        <v>3463</v>
      </c>
      <c r="S727">
        <v>25</v>
      </c>
      <c r="T727">
        <v>8.5</v>
      </c>
      <c r="U727">
        <v>10</v>
      </c>
      <c r="V727" t="s">
        <v>3243</v>
      </c>
      <c r="W727">
        <v>25</v>
      </c>
      <c r="X727">
        <v>10.115</v>
      </c>
      <c r="Y727">
        <v>11.7</v>
      </c>
    </row>
    <row r="728" spans="2:25">
      <c r="B728">
        <v>200</v>
      </c>
      <c r="C728">
        <v>222</v>
      </c>
      <c r="D728">
        <v>218.5</v>
      </c>
      <c r="E728">
        <v>223.5</v>
      </c>
      <c r="F728" t="s">
        <v>3461</v>
      </c>
      <c r="G728">
        <v>16</v>
      </c>
      <c r="H728">
        <v>7.74</v>
      </c>
      <c r="I728">
        <v>9.1999999999999993</v>
      </c>
      <c r="J728" t="s">
        <v>2187</v>
      </c>
      <c r="K728">
        <v>20</v>
      </c>
      <c r="L728">
        <v>8.5950000000000006</v>
      </c>
      <c r="M728">
        <v>10.1</v>
      </c>
      <c r="N728" t="s">
        <v>3462</v>
      </c>
      <c r="O728">
        <v>25</v>
      </c>
      <c r="P728">
        <v>9.4499999999999993</v>
      </c>
      <c r="Q728">
        <v>11</v>
      </c>
      <c r="R728" t="s">
        <v>3463</v>
      </c>
      <c r="S728">
        <v>25</v>
      </c>
      <c r="T728">
        <v>9.4499999999999993</v>
      </c>
      <c r="U728">
        <v>11</v>
      </c>
      <c r="V728" t="s">
        <v>3243</v>
      </c>
      <c r="W728">
        <v>25</v>
      </c>
      <c r="X728">
        <v>11.16</v>
      </c>
      <c r="Y728">
        <v>12.8</v>
      </c>
    </row>
    <row r="729" spans="2:25">
      <c r="B729">
        <v>250</v>
      </c>
      <c r="C729">
        <v>274</v>
      </c>
      <c r="D729">
        <v>270.5</v>
      </c>
      <c r="E729">
        <v>275.5</v>
      </c>
      <c r="F729" t="s">
        <v>3461</v>
      </c>
      <c r="G729">
        <v>16</v>
      </c>
      <c r="H729">
        <v>8.5</v>
      </c>
      <c r="I729">
        <v>10</v>
      </c>
      <c r="J729" t="s">
        <v>2187</v>
      </c>
      <c r="K729">
        <v>20</v>
      </c>
      <c r="L729">
        <v>9.4499999999999993</v>
      </c>
      <c r="M729">
        <v>11</v>
      </c>
      <c r="N729" t="s">
        <v>3462</v>
      </c>
      <c r="O729">
        <v>25</v>
      </c>
      <c r="P729">
        <v>10.4</v>
      </c>
      <c r="Q729">
        <v>12</v>
      </c>
      <c r="R729" t="s">
        <v>3463</v>
      </c>
      <c r="S729">
        <v>25</v>
      </c>
      <c r="T729">
        <v>10.4</v>
      </c>
      <c r="U729">
        <v>12</v>
      </c>
      <c r="V729" t="s">
        <v>3243</v>
      </c>
      <c r="W729">
        <v>25</v>
      </c>
      <c r="X729">
        <v>12.3</v>
      </c>
      <c r="Y729">
        <v>14</v>
      </c>
    </row>
    <row r="730" spans="2:25">
      <c r="B730">
        <v>300</v>
      </c>
      <c r="C730">
        <v>326</v>
      </c>
      <c r="D730">
        <v>322</v>
      </c>
      <c r="E730">
        <v>327.5</v>
      </c>
      <c r="F730" t="s">
        <v>3461</v>
      </c>
      <c r="G730">
        <v>16</v>
      </c>
      <c r="H730">
        <v>9.26</v>
      </c>
      <c r="I730">
        <v>10.8</v>
      </c>
      <c r="J730" t="s">
        <v>2187</v>
      </c>
      <c r="K730">
        <v>20</v>
      </c>
      <c r="L730">
        <v>10.305</v>
      </c>
      <c r="M730">
        <v>11.9</v>
      </c>
      <c r="N730" t="s">
        <v>3462</v>
      </c>
      <c r="O730">
        <v>25</v>
      </c>
      <c r="P730">
        <v>11.35</v>
      </c>
      <c r="Q730">
        <v>13</v>
      </c>
      <c r="R730" t="s">
        <v>3463</v>
      </c>
      <c r="S730">
        <v>25</v>
      </c>
      <c r="T730">
        <v>11.35</v>
      </c>
      <c r="U730">
        <v>13</v>
      </c>
      <c r="V730" t="s">
        <v>3243</v>
      </c>
      <c r="W730">
        <v>25</v>
      </c>
      <c r="X730">
        <v>13.44</v>
      </c>
      <c r="Y730">
        <v>15.2</v>
      </c>
    </row>
    <row r="731" spans="2:25">
      <c r="B731">
        <v>350</v>
      </c>
      <c r="C731">
        <v>378</v>
      </c>
      <c r="D731">
        <v>374</v>
      </c>
      <c r="E731">
        <v>379.5</v>
      </c>
      <c r="F731" t="s">
        <v>3461</v>
      </c>
      <c r="G731">
        <v>16</v>
      </c>
      <c r="H731">
        <v>10.115</v>
      </c>
      <c r="I731">
        <v>11.7</v>
      </c>
      <c r="J731" t="s">
        <v>2187</v>
      </c>
      <c r="K731">
        <v>20</v>
      </c>
      <c r="L731">
        <v>11.16</v>
      </c>
      <c r="M731">
        <v>12.8</v>
      </c>
      <c r="N731" t="s">
        <v>3462</v>
      </c>
      <c r="O731">
        <v>25</v>
      </c>
      <c r="P731">
        <v>12.3</v>
      </c>
      <c r="Q731">
        <v>14</v>
      </c>
      <c r="R731" t="s">
        <v>3463</v>
      </c>
      <c r="S731">
        <v>25</v>
      </c>
      <c r="T731">
        <v>12.3</v>
      </c>
      <c r="U731">
        <v>14</v>
      </c>
    </row>
    <row r="732" spans="2:25">
      <c r="B732">
        <v>400</v>
      </c>
      <c r="C732">
        <v>429</v>
      </c>
      <c r="D732">
        <v>425</v>
      </c>
      <c r="E732">
        <v>430.5</v>
      </c>
      <c r="F732" t="s">
        <v>3461</v>
      </c>
      <c r="G732">
        <v>16</v>
      </c>
      <c r="H732">
        <v>10.875</v>
      </c>
      <c r="I732">
        <v>12.5</v>
      </c>
      <c r="J732" t="s">
        <v>2187</v>
      </c>
      <c r="K732">
        <v>20</v>
      </c>
      <c r="L732">
        <v>12.11</v>
      </c>
      <c r="M732">
        <v>13.8</v>
      </c>
      <c r="N732" t="s">
        <v>3462</v>
      </c>
      <c r="O732">
        <v>25</v>
      </c>
      <c r="P732">
        <v>13.25</v>
      </c>
      <c r="Q732">
        <v>15</v>
      </c>
      <c r="R732" t="s">
        <v>3463</v>
      </c>
      <c r="S732">
        <v>25</v>
      </c>
      <c r="T732">
        <v>13.25</v>
      </c>
      <c r="U732">
        <v>15</v>
      </c>
    </row>
    <row r="733" spans="2:25">
      <c r="B733">
        <v>450</v>
      </c>
      <c r="C733">
        <v>480</v>
      </c>
      <c r="D733">
        <v>476</v>
      </c>
      <c r="E733">
        <v>481.5</v>
      </c>
      <c r="F733" t="s">
        <v>3461</v>
      </c>
      <c r="G733">
        <v>16</v>
      </c>
      <c r="H733">
        <v>11.635</v>
      </c>
      <c r="I733">
        <v>13.3</v>
      </c>
      <c r="J733" t="s">
        <v>2187</v>
      </c>
      <c r="K733">
        <v>20</v>
      </c>
      <c r="L733">
        <v>12.965</v>
      </c>
      <c r="M733">
        <v>14.7</v>
      </c>
      <c r="N733" t="s">
        <v>3462</v>
      </c>
      <c r="O733">
        <v>25</v>
      </c>
      <c r="P733">
        <v>14.2</v>
      </c>
      <c r="Q733">
        <v>16</v>
      </c>
      <c r="R733" t="s">
        <v>3463</v>
      </c>
      <c r="S733">
        <v>25</v>
      </c>
      <c r="T733">
        <v>14.2</v>
      </c>
      <c r="U733">
        <v>16</v>
      </c>
    </row>
    <row r="734" spans="2:25">
      <c r="B734">
        <v>500</v>
      </c>
      <c r="C734">
        <v>532</v>
      </c>
      <c r="D734">
        <v>528</v>
      </c>
      <c r="E734">
        <v>533.5</v>
      </c>
      <c r="F734" t="s">
        <v>3461</v>
      </c>
      <c r="G734">
        <v>16</v>
      </c>
      <c r="H734">
        <v>12.49</v>
      </c>
      <c r="I734">
        <v>14.2</v>
      </c>
      <c r="J734" t="s">
        <v>2187</v>
      </c>
      <c r="K734">
        <v>20</v>
      </c>
      <c r="L734">
        <v>13.82</v>
      </c>
      <c r="M734">
        <v>15.6</v>
      </c>
      <c r="N734" t="s">
        <v>3462</v>
      </c>
      <c r="O734">
        <v>25</v>
      </c>
      <c r="P734">
        <v>15.15</v>
      </c>
      <c r="Q734">
        <v>17</v>
      </c>
      <c r="R734" t="s">
        <v>3463</v>
      </c>
      <c r="S734">
        <v>25</v>
      </c>
      <c r="T734">
        <v>15.15</v>
      </c>
      <c r="U734">
        <v>17</v>
      </c>
    </row>
    <row r="735" spans="2:25">
      <c r="B735">
        <v>600</v>
      </c>
      <c r="C735">
        <v>635</v>
      </c>
      <c r="D735">
        <v>630.5</v>
      </c>
      <c r="E735">
        <v>637</v>
      </c>
      <c r="F735" t="s">
        <v>3461</v>
      </c>
      <c r="G735">
        <v>16</v>
      </c>
      <c r="H735">
        <v>14.01</v>
      </c>
      <c r="I735">
        <v>15.8</v>
      </c>
      <c r="J735" t="s">
        <v>2187</v>
      </c>
      <c r="K735">
        <v>20</v>
      </c>
      <c r="L735">
        <v>15.53</v>
      </c>
      <c r="M735">
        <v>17.399999999999999</v>
      </c>
      <c r="N735" t="s">
        <v>3462</v>
      </c>
      <c r="O735">
        <v>25</v>
      </c>
      <c r="P735">
        <v>17.05</v>
      </c>
      <c r="Q735">
        <v>19</v>
      </c>
      <c r="R735" t="s">
        <v>3463</v>
      </c>
      <c r="S735">
        <v>25</v>
      </c>
      <c r="T735">
        <v>17.05</v>
      </c>
      <c r="U735">
        <v>19</v>
      </c>
    </row>
    <row r="738" spans="2:14">
      <c r="B738" t="s">
        <v>3464</v>
      </c>
      <c r="C738" t="s">
        <v>3464</v>
      </c>
      <c r="D738" t="s">
        <v>3465</v>
      </c>
      <c r="E738" t="s">
        <v>3466</v>
      </c>
      <c r="F738" t="s">
        <v>3467</v>
      </c>
      <c r="G738" t="s">
        <v>3468</v>
      </c>
      <c r="H738" t="s">
        <v>2237</v>
      </c>
      <c r="J738" t="s">
        <v>3469</v>
      </c>
      <c r="K738" t="s">
        <v>3470</v>
      </c>
      <c r="L738" t="s">
        <v>3471</v>
      </c>
      <c r="M738" t="s">
        <v>2181</v>
      </c>
      <c r="N738" t="s">
        <v>3472</v>
      </c>
    </row>
    <row r="739" spans="2:14">
      <c r="B739" t="s">
        <v>3473</v>
      </c>
      <c r="C739" t="s">
        <v>3317</v>
      </c>
      <c r="D739">
        <v>80</v>
      </c>
      <c r="E739" t="s">
        <v>3474</v>
      </c>
      <c r="F739" t="s">
        <v>3461</v>
      </c>
      <c r="G739">
        <v>16</v>
      </c>
      <c r="H739">
        <v>1970</v>
      </c>
      <c r="J739">
        <v>98</v>
      </c>
      <c r="K739">
        <v>83.6</v>
      </c>
      <c r="L739">
        <v>7.2</v>
      </c>
      <c r="M739" t="s">
        <v>3475</v>
      </c>
      <c r="N739">
        <v>1273</v>
      </c>
    </row>
    <row r="740" spans="2:14">
      <c r="B740" t="s">
        <v>3473</v>
      </c>
      <c r="C740" t="s">
        <v>3317</v>
      </c>
      <c r="D740">
        <v>100</v>
      </c>
      <c r="E740" t="s">
        <v>3474</v>
      </c>
      <c r="F740" t="s">
        <v>3461</v>
      </c>
      <c r="G740">
        <v>16</v>
      </c>
      <c r="H740">
        <v>1970</v>
      </c>
      <c r="J740">
        <v>118</v>
      </c>
      <c r="K740">
        <v>103</v>
      </c>
      <c r="L740">
        <v>7.5</v>
      </c>
      <c r="M740" t="s">
        <v>3475</v>
      </c>
      <c r="N740">
        <v>1250</v>
      </c>
    </row>
    <row r="741" spans="2:14">
      <c r="B741" t="s">
        <v>3473</v>
      </c>
      <c r="C741" t="s">
        <v>3317</v>
      </c>
      <c r="D741">
        <v>150</v>
      </c>
      <c r="E741" t="s">
        <v>3474</v>
      </c>
      <c r="F741" t="s">
        <v>3461</v>
      </c>
      <c r="G741">
        <v>16</v>
      </c>
      <c r="H741">
        <v>1970</v>
      </c>
      <c r="J741">
        <v>170</v>
      </c>
      <c r="K741">
        <v>153.4</v>
      </c>
      <c r="L741">
        <v>8.3000000000000007</v>
      </c>
      <c r="M741" t="s">
        <v>3475</v>
      </c>
      <c r="N741">
        <v>1205</v>
      </c>
    </row>
    <row r="742" spans="2:14">
      <c r="B742" t="s">
        <v>3473</v>
      </c>
      <c r="C742" t="s">
        <v>3317</v>
      </c>
      <c r="D742">
        <v>200</v>
      </c>
      <c r="E742" t="s">
        <v>3474</v>
      </c>
      <c r="F742" t="s">
        <v>3461</v>
      </c>
      <c r="G742">
        <v>16</v>
      </c>
      <c r="H742">
        <v>1970</v>
      </c>
      <c r="J742">
        <v>222</v>
      </c>
      <c r="K742">
        <v>203.6</v>
      </c>
      <c r="L742">
        <v>9.1999999999999993</v>
      </c>
      <c r="M742" t="s">
        <v>3475</v>
      </c>
      <c r="N742">
        <v>1173</v>
      </c>
    </row>
    <row r="743" spans="2:14">
      <c r="B743" t="s">
        <v>3473</v>
      </c>
      <c r="C743" t="s">
        <v>3317</v>
      </c>
      <c r="D743">
        <v>250</v>
      </c>
      <c r="E743" t="s">
        <v>3474</v>
      </c>
      <c r="F743" t="s">
        <v>3461</v>
      </c>
      <c r="G743">
        <v>16</v>
      </c>
      <c r="H743">
        <v>1970</v>
      </c>
      <c r="J743">
        <v>274</v>
      </c>
      <c r="K743">
        <v>254</v>
      </c>
      <c r="L743">
        <v>10</v>
      </c>
      <c r="M743" t="s">
        <v>3475</v>
      </c>
      <c r="N743">
        <v>1146</v>
      </c>
    </row>
    <row r="744" spans="2:14">
      <c r="B744" t="s">
        <v>3473</v>
      </c>
      <c r="C744" t="s">
        <v>3317</v>
      </c>
      <c r="D744">
        <v>300</v>
      </c>
      <c r="E744" t="s">
        <v>3474</v>
      </c>
      <c r="F744" t="s">
        <v>3461</v>
      </c>
      <c r="G744">
        <v>16</v>
      </c>
      <c r="H744">
        <v>1970</v>
      </c>
      <c r="J744">
        <v>326</v>
      </c>
      <c r="K744">
        <v>304.39999999999998</v>
      </c>
      <c r="L744">
        <v>10.8</v>
      </c>
      <c r="M744" t="s">
        <v>3475</v>
      </c>
      <c r="N744">
        <v>1125</v>
      </c>
    </row>
    <row r="745" spans="2:14">
      <c r="B745" t="s">
        <v>3473</v>
      </c>
      <c r="C745" t="s">
        <v>3317</v>
      </c>
      <c r="D745">
        <v>350</v>
      </c>
      <c r="E745" t="s">
        <v>3474</v>
      </c>
      <c r="F745" t="s">
        <v>3461</v>
      </c>
      <c r="G745">
        <v>16</v>
      </c>
      <c r="H745">
        <v>1970</v>
      </c>
      <c r="J745">
        <v>378</v>
      </c>
      <c r="K745">
        <v>354.6</v>
      </c>
      <c r="L745">
        <v>11.7</v>
      </c>
      <c r="M745" t="s">
        <v>3475</v>
      </c>
      <c r="N745">
        <v>1109</v>
      </c>
    </row>
    <row r="746" spans="2:14">
      <c r="B746" t="s">
        <v>3473</v>
      </c>
      <c r="C746" t="s">
        <v>3317</v>
      </c>
      <c r="D746">
        <v>400</v>
      </c>
      <c r="E746" t="s">
        <v>3474</v>
      </c>
      <c r="F746" t="s">
        <v>3461</v>
      </c>
      <c r="G746">
        <v>16</v>
      </c>
      <c r="H746">
        <v>1970</v>
      </c>
      <c r="J746">
        <v>429</v>
      </c>
      <c r="K746">
        <v>404</v>
      </c>
      <c r="L746">
        <v>12.5</v>
      </c>
      <c r="M746" t="s">
        <v>3475</v>
      </c>
      <c r="N746">
        <v>1095</v>
      </c>
    </row>
    <row r="747" spans="2:14">
      <c r="B747" t="s">
        <v>3473</v>
      </c>
      <c r="C747" t="s">
        <v>3317</v>
      </c>
      <c r="D747">
        <v>450</v>
      </c>
      <c r="E747" t="s">
        <v>3474</v>
      </c>
      <c r="F747" t="s">
        <v>3461</v>
      </c>
      <c r="G747">
        <v>16</v>
      </c>
      <c r="H747">
        <v>1970</v>
      </c>
      <c r="J747">
        <v>480</v>
      </c>
      <c r="K747">
        <v>453.4</v>
      </c>
      <c r="L747">
        <v>13.3</v>
      </c>
      <c r="M747" t="s">
        <v>3475</v>
      </c>
      <c r="N747">
        <v>1082</v>
      </c>
    </row>
    <row r="748" spans="2:14">
      <c r="B748" t="s">
        <v>3473</v>
      </c>
      <c r="C748" t="s">
        <v>3317</v>
      </c>
      <c r="D748">
        <v>500</v>
      </c>
      <c r="E748" t="s">
        <v>3474</v>
      </c>
      <c r="F748" t="s">
        <v>3461</v>
      </c>
      <c r="G748">
        <v>16</v>
      </c>
      <c r="H748">
        <v>1970</v>
      </c>
      <c r="J748">
        <v>532</v>
      </c>
      <c r="K748">
        <v>503.6</v>
      </c>
      <c r="L748">
        <v>14.2</v>
      </c>
      <c r="M748" t="s">
        <v>3475</v>
      </c>
      <c r="N748">
        <v>1074</v>
      </c>
    </row>
    <row r="749" spans="2:14">
      <c r="B749" t="s">
        <v>3473</v>
      </c>
      <c r="C749" t="s">
        <v>3317</v>
      </c>
      <c r="D749">
        <v>600</v>
      </c>
      <c r="E749" t="s">
        <v>3474</v>
      </c>
      <c r="F749" t="s">
        <v>3461</v>
      </c>
      <c r="G749">
        <v>16</v>
      </c>
      <c r="H749">
        <v>1970</v>
      </c>
      <c r="J749">
        <v>635</v>
      </c>
      <c r="K749">
        <v>603.4</v>
      </c>
      <c r="L749">
        <v>15.8</v>
      </c>
      <c r="M749" t="s">
        <v>3475</v>
      </c>
      <c r="N749">
        <v>1056</v>
      </c>
    </row>
    <row r="750" spans="2:14">
      <c r="B750" t="s">
        <v>3473</v>
      </c>
      <c r="C750" t="s">
        <v>3317</v>
      </c>
      <c r="D750">
        <v>80</v>
      </c>
      <c r="E750" t="s">
        <v>3474</v>
      </c>
      <c r="F750" t="s">
        <v>2187</v>
      </c>
      <c r="G750">
        <v>20</v>
      </c>
      <c r="H750">
        <v>1970</v>
      </c>
      <c r="J750">
        <v>98</v>
      </c>
      <c r="K750">
        <v>82.2</v>
      </c>
      <c r="L750">
        <v>7.9</v>
      </c>
      <c r="M750" t="s">
        <v>3475</v>
      </c>
      <c r="N750">
        <v>1284</v>
      </c>
    </row>
    <row r="751" spans="2:14">
      <c r="B751" t="s">
        <v>3473</v>
      </c>
      <c r="C751" t="s">
        <v>3317</v>
      </c>
      <c r="D751">
        <v>100</v>
      </c>
      <c r="E751" t="s">
        <v>3474</v>
      </c>
      <c r="F751" t="s">
        <v>2187</v>
      </c>
      <c r="G751">
        <v>20</v>
      </c>
      <c r="H751">
        <v>1970</v>
      </c>
      <c r="J751">
        <v>118</v>
      </c>
      <c r="K751">
        <v>101.4</v>
      </c>
      <c r="L751">
        <v>8.3000000000000007</v>
      </c>
      <c r="M751" t="s">
        <v>3475</v>
      </c>
      <c r="N751">
        <v>1264</v>
      </c>
    </row>
    <row r="752" spans="2:14">
      <c r="B752" t="s">
        <v>3473</v>
      </c>
      <c r="C752" t="s">
        <v>3317</v>
      </c>
      <c r="D752">
        <v>150</v>
      </c>
      <c r="E752" t="s">
        <v>3474</v>
      </c>
      <c r="F752" t="s">
        <v>2187</v>
      </c>
      <c r="G752">
        <v>20</v>
      </c>
      <c r="H752">
        <v>1970</v>
      </c>
      <c r="J752">
        <v>170</v>
      </c>
      <c r="K752">
        <v>151.6</v>
      </c>
      <c r="L752">
        <v>9.1999999999999993</v>
      </c>
      <c r="M752" t="s">
        <v>3475</v>
      </c>
      <c r="N752">
        <v>1221</v>
      </c>
    </row>
    <row r="753" spans="2:14">
      <c r="B753" t="s">
        <v>3473</v>
      </c>
      <c r="C753" t="s">
        <v>3317</v>
      </c>
      <c r="D753">
        <v>200</v>
      </c>
      <c r="E753" t="s">
        <v>3474</v>
      </c>
      <c r="F753" t="s">
        <v>2187</v>
      </c>
      <c r="G753">
        <v>20</v>
      </c>
      <c r="H753">
        <v>1970</v>
      </c>
      <c r="J753">
        <v>222</v>
      </c>
      <c r="K753">
        <v>201.8</v>
      </c>
      <c r="L753">
        <v>10.1</v>
      </c>
      <c r="M753" t="s">
        <v>3475</v>
      </c>
      <c r="N753">
        <v>1189</v>
      </c>
    </row>
    <row r="754" spans="2:14">
      <c r="B754" t="s">
        <v>3473</v>
      </c>
      <c r="C754" t="s">
        <v>3317</v>
      </c>
      <c r="D754">
        <v>250</v>
      </c>
      <c r="E754" t="s">
        <v>3474</v>
      </c>
      <c r="F754" t="s">
        <v>2187</v>
      </c>
      <c r="G754">
        <v>20</v>
      </c>
      <c r="H754">
        <v>1970</v>
      </c>
      <c r="J754">
        <v>274</v>
      </c>
      <c r="K754">
        <v>252</v>
      </c>
      <c r="L754">
        <v>11</v>
      </c>
      <c r="M754" t="s">
        <v>3475</v>
      </c>
      <c r="N754">
        <v>1164</v>
      </c>
    </row>
    <row r="755" spans="2:14">
      <c r="B755" t="s">
        <v>3473</v>
      </c>
      <c r="C755" t="s">
        <v>3317</v>
      </c>
      <c r="D755">
        <v>300</v>
      </c>
      <c r="E755" t="s">
        <v>3474</v>
      </c>
      <c r="F755" t="s">
        <v>2187</v>
      </c>
      <c r="G755">
        <v>20</v>
      </c>
      <c r="H755">
        <v>1970</v>
      </c>
      <c r="J755">
        <v>326</v>
      </c>
      <c r="K755">
        <v>302.2</v>
      </c>
      <c r="L755">
        <v>11.9</v>
      </c>
      <c r="M755" t="s">
        <v>3475</v>
      </c>
      <c r="N755">
        <v>1144</v>
      </c>
    </row>
    <row r="756" spans="2:14">
      <c r="B756" t="s">
        <v>3473</v>
      </c>
      <c r="C756" t="s">
        <v>3317</v>
      </c>
      <c r="D756">
        <v>350</v>
      </c>
      <c r="E756" t="s">
        <v>3474</v>
      </c>
      <c r="F756" t="s">
        <v>2187</v>
      </c>
      <c r="G756">
        <v>20</v>
      </c>
      <c r="H756">
        <v>1970</v>
      </c>
      <c r="J756">
        <v>378</v>
      </c>
      <c r="K756">
        <v>352.4</v>
      </c>
      <c r="L756">
        <v>12.8</v>
      </c>
      <c r="M756" t="s">
        <v>3475</v>
      </c>
      <c r="N756">
        <v>1128</v>
      </c>
    </row>
    <row r="757" spans="2:14">
      <c r="B757" t="s">
        <v>3473</v>
      </c>
      <c r="C757" t="s">
        <v>3317</v>
      </c>
      <c r="D757">
        <v>400</v>
      </c>
      <c r="E757" t="s">
        <v>3474</v>
      </c>
      <c r="F757" t="s">
        <v>2187</v>
      </c>
      <c r="G757">
        <v>20</v>
      </c>
      <c r="H757">
        <v>1970</v>
      </c>
      <c r="J757">
        <v>429</v>
      </c>
      <c r="K757">
        <v>401.4</v>
      </c>
      <c r="L757">
        <v>13.8</v>
      </c>
      <c r="M757" t="s">
        <v>3475</v>
      </c>
      <c r="N757">
        <v>1116</v>
      </c>
    </row>
    <row r="758" spans="2:14">
      <c r="B758" t="s">
        <v>3473</v>
      </c>
      <c r="C758" t="s">
        <v>3317</v>
      </c>
      <c r="D758">
        <v>450</v>
      </c>
      <c r="E758" t="s">
        <v>3474</v>
      </c>
      <c r="F758" t="s">
        <v>2187</v>
      </c>
      <c r="G758">
        <v>20</v>
      </c>
      <c r="H758">
        <v>1970</v>
      </c>
      <c r="J758">
        <v>480</v>
      </c>
      <c r="K758">
        <v>450.6</v>
      </c>
      <c r="L758">
        <v>14.7</v>
      </c>
      <c r="M758" t="s">
        <v>3475</v>
      </c>
      <c r="N758">
        <v>1104</v>
      </c>
    </row>
    <row r="759" spans="2:14">
      <c r="B759" t="s">
        <v>3473</v>
      </c>
      <c r="C759" t="s">
        <v>3317</v>
      </c>
      <c r="D759">
        <v>500</v>
      </c>
      <c r="E759" t="s">
        <v>3474</v>
      </c>
      <c r="F759" t="s">
        <v>2187</v>
      </c>
      <c r="G759">
        <v>20</v>
      </c>
      <c r="H759">
        <v>1970</v>
      </c>
      <c r="J759">
        <v>532</v>
      </c>
      <c r="K759">
        <v>500.8</v>
      </c>
      <c r="L759">
        <v>15.6</v>
      </c>
      <c r="M759" t="s">
        <v>3475</v>
      </c>
      <c r="N759">
        <v>1094</v>
      </c>
    </row>
    <row r="760" spans="2:14">
      <c r="B760" t="s">
        <v>3473</v>
      </c>
      <c r="C760" t="s">
        <v>3317</v>
      </c>
      <c r="D760">
        <v>600</v>
      </c>
      <c r="E760" t="s">
        <v>3474</v>
      </c>
      <c r="F760" t="s">
        <v>2187</v>
      </c>
      <c r="G760">
        <v>20</v>
      </c>
      <c r="H760">
        <v>1970</v>
      </c>
      <c r="J760">
        <v>635</v>
      </c>
      <c r="K760">
        <v>600.20000000000005</v>
      </c>
      <c r="L760">
        <v>17.399999999999999</v>
      </c>
      <c r="M760" t="s">
        <v>3475</v>
      </c>
      <c r="N760">
        <v>1078</v>
      </c>
    </row>
    <row r="761" spans="2:14">
      <c r="B761" t="s">
        <v>3473</v>
      </c>
      <c r="C761" t="s">
        <v>3317</v>
      </c>
      <c r="D761">
        <v>80</v>
      </c>
      <c r="E761" t="s">
        <v>3474</v>
      </c>
      <c r="F761" t="s">
        <v>3462</v>
      </c>
      <c r="G761">
        <v>25</v>
      </c>
      <c r="H761">
        <v>1970</v>
      </c>
      <c r="J761">
        <v>98</v>
      </c>
      <c r="K761">
        <v>80.8</v>
      </c>
      <c r="L761">
        <v>8.6</v>
      </c>
      <c r="M761" t="s">
        <v>3475</v>
      </c>
      <c r="N761">
        <v>1293</v>
      </c>
    </row>
    <row r="762" spans="2:14">
      <c r="B762" t="s">
        <v>3473</v>
      </c>
      <c r="C762" t="s">
        <v>3317</v>
      </c>
      <c r="D762">
        <v>100</v>
      </c>
      <c r="E762" t="s">
        <v>3474</v>
      </c>
      <c r="F762" t="s">
        <v>3462</v>
      </c>
      <c r="G762">
        <v>25</v>
      </c>
      <c r="H762">
        <v>1970</v>
      </c>
      <c r="J762">
        <v>118</v>
      </c>
      <c r="K762">
        <v>100</v>
      </c>
      <c r="L762">
        <v>9</v>
      </c>
      <c r="M762" t="s">
        <v>3475</v>
      </c>
      <c r="N762">
        <v>1273</v>
      </c>
    </row>
    <row r="763" spans="2:14">
      <c r="B763" t="s">
        <v>3473</v>
      </c>
      <c r="C763" t="s">
        <v>3317</v>
      </c>
      <c r="D763">
        <v>150</v>
      </c>
      <c r="E763" t="s">
        <v>3474</v>
      </c>
      <c r="F763" t="s">
        <v>3462</v>
      </c>
      <c r="G763">
        <v>25</v>
      </c>
      <c r="H763">
        <v>1970</v>
      </c>
      <c r="J763">
        <v>170</v>
      </c>
      <c r="K763">
        <v>150</v>
      </c>
      <c r="L763">
        <v>10</v>
      </c>
      <c r="M763" t="s">
        <v>3475</v>
      </c>
      <c r="N763">
        <v>1234</v>
      </c>
    </row>
    <row r="764" spans="2:14">
      <c r="B764" t="s">
        <v>3473</v>
      </c>
      <c r="C764" t="s">
        <v>3317</v>
      </c>
      <c r="D764">
        <v>200</v>
      </c>
      <c r="E764" t="s">
        <v>3474</v>
      </c>
      <c r="F764" t="s">
        <v>3462</v>
      </c>
      <c r="G764">
        <v>25</v>
      </c>
      <c r="H764">
        <v>1970</v>
      </c>
      <c r="J764">
        <v>222</v>
      </c>
      <c r="K764">
        <v>200</v>
      </c>
      <c r="L764">
        <v>11</v>
      </c>
      <c r="M764" t="s">
        <v>3475</v>
      </c>
      <c r="N764">
        <v>1204</v>
      </c>
    </row>
    <row r="765" spans="2:14">
      <c r="B765" t="s">
        <v>3473</v>
      </c>
      <c r="C765" t="s">
        <v>3317</v>
      </c>
      <c r="D765">
        <v>250</v>
      </c>
      <c r="E765" t="s">
        <v>3474</v>
      </c>
      <c r="F765" t="s">
        <v>3462</v>
      </c>
      <c r="G765">
        <v>25</v>
      </c>
      <c r="H765">
        <v>1970</v>
      </c>
      <c r="J765">
        <v>274</v>
      </c>
      <c r="K765">
        <v>250</v>
      </c>
      <c r="L765">
        <v>12</v>
      </c>
      <c r="M765" t="s">
        <v>3475</v>
      </c>
      <c r="N765">
        <v>1180</v>
      </c>
    </row>
    <row r="766" spans="2:14">
      <c r="B766" t="s">
        <v>3473</v>
      </c>
      <c r="C766" t="s">
        <v>3317</v>
      </c>
      <c r="D766">
        <v>300</v>
      </c>
      <c r="E766" t="s">
        <v>3474</v>
      </c>
      <c r="F766" t="s">
        <v>3462</v>
      </c>
      <c r="G766">
        <v>25</v>
      </c>
      <c r="H766">
        <v>1970</v>
      </c>
      <c r="J766">
        <v>326</v>
      </c>
      <c r="K766">
        <v>300</v>
      </c>
      <c r="L766">
        <v>13</v>
      </c>
      <c r="M766" t="s">
        <v>3475</v>
      </c>
      <c r="N766">
        <v>1161</v>
      </c>
    </row>
    <row r="767" spans="2:14">
      <c r="B767" t="s">
        <v>3473</v>
      </c>
      <c r="C767" t="s">
        <v>3317</v>
      </c>
      <c r="D767">
        <v>350</v>
      </c>
      <c r="E767" t="s">
        <v>3474</v>
      </c>
      <c r="F767" t="s">
        <v>3462</v>
      </c>
      <c r="G767">
        <v>25</v>
      </c>
      <c r="H767">
        <v>1970</v>
      </c>
      <c r="J767">
        <v>378</v>
      </c>
      <c r="K767">
        <v>350</v>
      </c>
      <c r="L767">
        <v>14</v>
      </c>
      <c r="M767" t="s">
        <v>3475</v>
      </c>
      <c r="N767">
        <v>1146</v>
      </c>
    </row>
    <row r="768" spans="2:14">
      <c r="B768" t="s">
        <v>3473</v>
      </c>
      <c r="C768" t="s">
        <v>3317</v>
      </c>
      <c r="D768">
        <v>400</v>
      </c>
      <c r="E768" t="s">
        <v>3474</v>
      </c>
      <c r="F768" t="s">
        <v>3462</v>
      </c>
      <c r="G768">
        <v>25</v>
      </c>
      <c r="H768">
        <v>1970</v>
      </c>
      <c r="J768">
        <v>429</v>
      </c>
      <c r="K768">
        <v>399</v>
      </c>
      <c r="L768">
        <v>15</v>
      </c>
      <c r="M768" t="s">
        <v>3475</v>
      </c>
      <c r="N768">
        <v>1133</v>
      </c>
    </row>
    <row r="769" spans="2:14">
      <c r="B769" t="s">
        <v>3473</v>
      </c>
      <c r="C769" t="s">
        <v>3317</v>
      </c>
      <c r="D769">
        <v>450</v>
      </c>
      <c r="E769" t="s">
        <v>3474</v>
      </c>
      <c r="F769" t="s">
        <v>3462</v>
      </c>
      <c r="G769">
        <v>25</v>
      </c>
      <c r="H769">
        <v>1970</v>
      </c>
      <c r="J769">
        <v>480</v>
      </c>
      <c r="K769">
        <v>448</v>
      </c>
      <c r="L769">
        <v>16</v>
      </c>
      <c r="M769" t="s">
        <v>3475</v>
      </c>
      <c r="N769">
        <v>1122</v>
      </c>
    </row>
    <row r="770" spans="2:14">
      <c r="B770" t="s">
        <v>3473</v>
      </c>
      <c r="C770" t="s">
        <v>3317</v>
      </c>
      <c r="D770">
        <v>500</v>
      </c>
      <c r="E770" t="s">
        <v>3474</v>
      </c>
      <c r="F770" t="s">
        <v>3462</v>
      </c>
      <c r="G770">
        <v>25</v>
      </c>
      <c r="H770">
        <v>1970</v>
      </c>
      <c r="J770">
        <v>532</v>
      </c>
      <c r="K770">
        <v>498</v>
      </c>
      <c r="L770">
        <v>17</v>
      </c>
      <c r="M770" t="s">
        <v>3475</v>
      </c>
      <c r="N770">
        <v>1113</v>
      </c>
    </row>
    <row r="771" spans="2:14">
      <c r="B771" t="s">
        <v>3473</v>
      </c>
      <c r="C771" t="s">
        <v>3317</v>
      </c>
      <c r="D771">
        <v>600</v>
      </c>
      <c r="E771" t="s">
        <v>3474</v>
      </c>
      <c r="F771" t="s">
        <v>3462</v>
      </c>
      <c r="G771">
        <v>25</v>
      </c>
      <c r="H771">
        <v>1970</v>
      </c>
      <c r="J771">
        <v>635</v>
      </c>
      <c r="K771">
        <v>597</v>
      </c>
      <c r="L771">
        <v>19</v>
      </c>
      <c r="M771" t="s">
        <v>3475</v>
      </c>
      <c r="N771">
        <v>1098</v>
      </c>
    </row>
    <row r="772" spans="2:14">
      <c r="B772" t="s">
        <v>3473</v>
      </c>
      <c r="C772" t="s">
        <v>3317</v>
      </c>
      <c r="D772">
        <v>80</v>
      </c>
      <c r="E772" t="s">
        <v>3474</v>
      </c>
      <c r="F772" t="s">
        <v>3463</v>
      </c>
      <c r="G772">
        <v>25</v>
      </c>
      <c r="H772">
        <v>1970</v>
      </c>
      <c r="J772">
        <v>98</v>
      </c>
      <c r="K772">
        <v>80.8</v>
      </c>
      <c r="L772">
        <v>8.6</v>
      </c>
      <c r="M772" t="s">
        <v>3475</v>
      </c>
      <c r="N772">
        <v>1293</v>
      </c>
    </row>
    <row r="773" spans="2:14">
      <c r="B773" t="s">
        <v>3473</v>
      </c>
      <c r="C773" t="s">
        <v>3317</v>
      </c>
      <c r="D773">
        <v>100</v>
      </c>
      <c r="E773" t="s">
        <v>3474</v>
      </c>
      <c r="F773" t="s">
        <v>3463</v>
      </c>
      <c r="G773">
        <v>25</v>
      </c>
      <c r="H773">
        <v>1970</v>
      </c>
      <c r="J773">
        <v>118</v>
      </c>
      <c r="K773">
        <v>100</v>
      </c>
      <c r="L773">
        <v>9</v>
      </c>
      <c r="M773" t="s">
        <v>3475</v>
      </c>
      <c r="N773">
        <v>1273</v>
      </c>
    </row>
    <row r="774" spans="2:14">
      <c r="B774" t="s">
        <v>3473</v>
      </c>
      <c r="C774" t="s">
        <v>3317</v>
      </c>
      <c r="D774">
        <v>150</v>
      </c>
      <c r="E774" t="s">
        <v>3474</v>
      </c>
      <c r="F774" t="s">
        <v>3463</v>
      </c>
      <c r="G774">
        <v>25</v>
      </c>
      <c r="H774">
        <v>1970</v>
      </c>
      <c r="J774">
        <v>170</v>
      </c>
      <c r="K774">
        <v>150</v>
      </c>
      <c r="L774">
        <v>10</v>
      </c>
      <c r="M774" t="s">
        <v>3475</v>
      </c>
      <c r="N774">
        <v>1234</v>
      </c>
    </row>
    <row r="775" spans="2:14">
      <c r="B775" t="s">
        <v>3473</v>
      </c>
      <c r="C775" t="s">
        <v>3317</v>
      </c>
      <c r="D775">
        <v>200</v>
      </c>
      <c r="E775" t="s">
        <v>3474</v>
      </c>
      <c r="F775" t="s">
        <v>3463</v>
      </c>
      <c r="G775">
        <v>25</v>
      </c>
      <c r="H775">
        <v>1970</v>
      </c>
      <c r="J775">
        <v>222</v>
      </c>
      <c r="K775">
        <v>200</v>
      </c>
      <c r="L775">
        <v>11</v>
      </c>
      <c r="M775" t="s">
        <v>3475</v>
      </c>
      <c r="N775">
        <v>1204</v>
      </c>
    </row>
    <row r="776" spans="2:14">
      <c r="B776" t="s">
        <v>3473</v>
      </c>
      <c r="C776" t="s">
        <v>3317</v>
      </c>
      <c r="D776">
        <v>250</v>
      </c>
      <c r="E776" t="s">
        <v>3474</v>
      </c>
      <c r="F776" t="s">
        <v>3463</v>
      </c>
      <c r="G776">
        <v>25</v>
      </c>
      <c r="H776">
        <v>1970</v>
      </c>
      <c r="J776">
        <v>274</v>
      </c>
      <c r="K776">
        <v>250</v>
      </c>
      <c r="L776">
        <v>12</v>
      </c>
      <c r="M776" t="s">
        <v>3475</v>
      </c>
      <c r="N776">
        <v>1180</v>
      </c>
    </row>
    <row r="777" spans="2:14">
      <c r="B777" t="s">
        <v>3473</v>
      </c>
      <c r="C777" t="s">
        <v>3317</v>
      </c>
      <c r="D777">
        <v>300</v>
      </c>
      <c r="E777" t="s">
        <v>3474</v>
      </c>
      <c r="F777" t="s">
        <v>3463</v>
      </c>
      <c r="G777">
        <v>25</v>
      </c>
      <c r="H777">
        <v>1970</v>
      </c>
      <c r="J777">
        <v>326</v>
      </c>
      <c r="K777">
        <v>300</v>
      </c>
      <c r="L777">
        <v>13</v>
      </c>
      <c r="M777" t="s">
        <v>3475</v>
      </c>
      <c r="N777">
        <v>1161</v>
      </c>
    </row>
    <row r="778" spans="2:14">
      <c r="B778" t="s">
        <v>3473</v>
      </c>
      <c r="C778" t="s">
        <v>3317</v>
      </c>
      <c r="D778">
        <v>350</v>
      </c>
      <c r="E778" t="s">
        <v>3474</v>
      </c>
      <c r="F778" t="s">
        <v>3463</v>
      </c>
      <c r="G778">
        <v>25</v>
      </c>
      <c r="H778">
        <v>1970</v>
      </c>
      <c r="J778">
        <v>378</v>
      </c>
      <c r="K778">
        <v>350</v>
      </c>
      <c r="L778">
        <v>14</v>
      </c>
      <c r="M778" t="s">
        <v>3475</v>
      </c>
      <c r="N778">
        <v>1146</v>
      </c>
    </row>
    <row r="779" spans="2:14">
      <c r="B779" t="s">
        <v>3473</v>
      </c>
      <c r="C779" t="s">
        <v>3317</v>
      </c>
      <c r="D779">
        <v>400</v>
      </c>
      <c r="E779" t="s">
        <v>3474</v>
      </c>
      <c r="F779" t="s">
        <v>3463</v>
      </c>
      <c r="G779">
        <v>25</v>
      </c>
      <c r="H779">
        <v>1970</v>
      </c>
      <c r="J779">
        <v>429</v>
      </c>
      <c r="K779">
        <v>399</v>
      </c>
      <c r="L779">
        <v>15</v>
      </c>
      <c r="M779" t="s">
        <v>3475</v>
      </c>
      <c r="N779">
        <v>1133</v>
      </c>
    </row>
    <row r="780" spans="2:14">
      <c r="B780" t="s">
        <v>3473</v>
      </c>
      <c r="C780" t="s">
        <v>3317</v>
      </c>
      <c r="D780">
        <v>450</v>
      </c>
      <c r="E780" t="s">
        <v>3474</v>
      </c>
      <c r="F780" t="s">
        <v>3463</v>
      </c>
      <c r="G780">
        <v>25</v>
      </c>
      <c r="H780">
        <v>1970</v>
      </c>
      <c r="J780">
        <v>480</v>
      </c>
      <c r="K780">
        <v>448</v>
      </c>
      <c r="L780">
        <v>16</v>
      </c>
      <c r="M780" t="s">
        <v>3475</v>
      </c>
      <c r="N780">
        <v>1122</v>
      </c>
    </row>
    <row r="781" spans="2:14">
      <c r="B781" t="s">
        <v>3473</v>
      </c>
      <c r="C781" t="s">
        <v>3317</v>
      </c>
      <c r="D781">
        <v>500</v>
      </c>
      <c r="E781" t="s">
        <v>3474</v>
      </c>
      <c r="F781" t="s">
        <v>3463</v>
      </c>
      <c r="G781">
        <v>25</v>
      </c>
      <c r="H781">
        <v>1970</v>
      </c>
      <c r="J781">
        <v>532</v>
      </c>
      <c r="K781">
        <v>498</v>
      </c>
      <c r="L781">
        <v>17</v>
      </c>
      <c r="M781" t="s">
        <v>3475</v>
      </c>
      <c r="N781">
        <v>1113</v>
      </c>
    </row>
    <row r="782" spans="2:14">
      <c r="B782" t="s">
        <v>3473</v>
      </c>
      <c r="C782" t="s">
        <v>3317</v>
      </c>
      <c r="D782">
        <v>600</v>
      </c>
      <c r="E782" t="s">
        <v>3474</v>
      </c>
      <c r="F782" t="s">
        <v>3463</v>
      </c>
      <c r="G782">
        <v>25</v>
      </c>
      <c r="H782">
        <v>1970</v>
      </c>
      <c r="J782">
        <v>635</v>
      </c>
      <c r="K782">
        <v>597</v>
      </c>
      <c r="L782">
        <v>19</v>
      </c>
      <c r="M782" t="s">
        <v>3475</v>
      </c>
      <c r="N782">
        <v>1098</v>
      </c>
    </row>
    <row r="783" spans="2:14">
      <c r="B783" t="s">
        <v>3473</v>
      </c>
      <c r="C783" t="s">
        <v>3317</v>
      </c>
      <c r="D783">
        <v>80</v>
      </c>
      <c r="E783" t="s">
        <v>3474</v>
      </c>
      <c r="F783" t="s">
        <v>3243</v>
      </c>
      <c r="G783">
        <v>25</v>
      </c>
      <c r="H783">
        <v>1970</v>
      </c>
      <c r="J783">
        <v>98</v>
      </c>
      <c r="K783">
        <v>78</v>
      </c>
      <c r="L783">
        <v>10</v>
      </c>
      <c r="M783" t="s">
        <v>3475</v>
      </c>
      <c r="N783">
        <v>1308</v>
      </c>
    </row>
    <row r="784" spans="2:14">
      <c r="B784" t="s">
        <v>3473</v>
      </c>
      <c r="C784" t="s">
        <v>3317</v>
      </c>
      <c r="D784">
        <v>100</v>
      </c>
      <c r="E784" t="s">
        <v>3474</v>
      </c>
      <c r="F784" t="s">
        <v>3243</v>
      </c>
      <c r="G784">
        <v>25</v>
      </c>
      <c r="H784">
        <v>1970</v>
      </c>
      <c r="J784">
        <v>118</v>
      </c>
      <c r="K784">
        <v>97</v>
      </c>
      <c r="L784">
        <v>10.5</v>
      </c>
      <c r="M784" t="s">
        <v>3475</v>
      </c>
      <c r="N784">
        <v>1291</v>
      </c>
    </row>
    <row r="785" spans="1:22">
      <c r="B785" t="s">
        <v>3473</v>
      </c>
      <c r="C785" t="s">
        <v>3317</v>
      </c>
      <c r="D785">
        <v>150</v>
      </c>
      <c r="E785" t="s">
        <v>3474</v>
      </c>
      <c r="F785" t="s">
        <v>3243</v>
      </c>
      <c r="G785">
        <v>25</v>
      </c>
      <c r="H785">
        <v>1970</v>
      </c>
      <c r="J785">
        <v>170</v>
      </c>
      <c r="K785">
        <v>146.6</v>
      </c>
      <c r="L785">
        <v>11.7</v>
      </c>
      <c r="M785" t="s">
        <v>3475</v>
      </c>
      <c r="N785">
        <v>1255</v>
      </c>
    </row>
    <row r="786" spans="1:22">
      <c r="B786" t="s">
        <v>3473</v>
      </c>
      <c r="C786" t="s">
        <v>3317</v>
      </c>
      <c r="D786">
        <v>200</v>
      </c>
      <c r="E786" t="s">
        <v>3474</v>
      </c>
      <c r="F786" t="s">
        <v>3243</v>
      </c>
      <c r="G786">
        <v>25</v>
      </c>
      <c r="H786">
        <v>1970</v>
      </c>
      <c r="J786">
        <v>222</v>
      </c>
      <c r="K786">
        <v>196.4</v>
      </c>
      <c r="L786">
        <v>12.8</v>
      </c>
      <c r="M786" t="s">
        <v>3475</v>
      </c>
      <c r="N786">
        <v>1228</v>
      </c>
    </row>
    <row r="787" spans="1:22">
      <c r="B787" t="s">
        <v>3473</v>
      </c>
      <c r="C787" t="s">
        <v>3317</v>
      </c>
      <c r="D787">
        <v>250</v>
      </c>
      <c r="E787" t="s">
        <v>3474</v>
      </c>
      <c r="F787" t="s">
        <v>3243</v>
      </c>
      <c r="G787">
        <v>25</v>
      </c>
      <c r="H787">
        <v>1970</v>
      </c>
      <c r="J787">
        <v>274</v>
      </c>
      <c r="K787">
        <v>246</v>
      </c>
      <c r="L787">
        <v>14</v>
      </c>
      <c r="M787" t="s">
        <v>3475</v>
      </c>
      <c r="N787">
        <v>1207</v>
      </c>
    </row>
    <row r="788" spans="1:22">
      <c r="B788" t="s">
        <v>3473</v>
      </c>
      <c r="C788" t="s">
        <v>3317</v>
      </c>
      <c r="D788">
        <v>300</v>
      </c>
      <c r="E788" t="s">
        <v>3474</v>
      </c>
      <c r="F788" t="s">
        <v>3243</v>
      </c>
      <c r="G788">
        <v>25</v>
      </c>
      <c r="H788">
        <v>1970</v>
      </c>
      <c r="J788">
        <v>326</v>
      </c>
      <c r="K788">
        <v>295.60000000000002</v>
      </c>
      <c r="L788">
        <v>15.2</v>
      </c>
      <c r="M788" t="s">
        <v>3475</v>
      </c>
      <c r="N788">
        <v>1190</v>
      </c>
    </row>
    <row r="791" spans="1:22">
      <c r="A791" t="s">
        <v>3476</v>
      </c>
    </row>
    <row r="792" spans="1:22">
      <c r="A792" t="s">
        <v>3477</v>
      </c>
    </row>
    <row r="794" spans="1:22">
      <c r="A794" t="s">
        <v>3478</v>
      </c>
    </row>
    <row r="795" spans="1:22">
      <c r="B795" t="s">
        <v>3479</v>
      </c>
    </row>
    <row r="796" spans="1:22">
      <c r="B796" t="s">
        <v>3441</v>
      </c>
      <c r="F796" t="s">
        <v>3480</v>
      </c>
      <c r="O796" t="s">
        <v>3481</v>
      </c>
    </row>
    <row r="797" spans="1:22">
      <c r="B797" t="s">
        <v>3460</v>
      </c>
      <c r="C797" t="s">
        <v>3482</v>
      </c>
      <c r="D797" t="s">
        <v>3393</v>
      </c>
      <c r="E797" t="s">
        <v>3394</v>
      </c>
      <c r="F797" t="s">
        <v>3467</v>
      </c>
      <c r="G797" t="s">
        <v>3395</v>
      </c>
      <c r="I797" t="s">
        <v>3483</v>
      </c>
      <c r="J797" t="s">
        <v>3467</v>
      </c>
      <c r="K797" t="s">
        <v>3395</v>
      </c>
      <c r="N797" t="s">
        <v>3483</v>
      </c>
      <c r="O797" t="s">
        <v>3467</v>
      </c>
      <c r="P797" t="s">
        <v>3395</v>
      </c>
      <c r="R797" t="s">
        <v>3483</v>
      </c>
      <c r="S797" t="s">
        <v>3467</v>
      </c>
      <c r="T797" t="s">
        <v>3395</v>
      </c>
      <c r="V797" t="s">
        <v>3483</v>
      </c>
    </row>
    <row r="798" spans="1:22">
      <c r="B798">
        <v>80</v>
      </c>
      <c r="C798">
        <v>98</v>
      </c>
      <c r="D798">
        <v>95</v>
      </c>
      <c r="E798">
        <v>99</v>
      </c>
      <c r="F798" t="s">
        <v>3484</v>
      </c>
      <c r="G798">
        <v>4.62</v>
      </c>
      <c r="H798">
        <v>5.31</v>
      </c>
      <c r="I798">
        <v>6</v>
      </c>
      <c r="J798" t="s">
        <v>3485</v>
      </c>
      <c r="O798" t="s">
        <v>3486</v>
      </c>
      <c r="P798">
        <v>5.62</v>
      </c>
      <c r="Q798">
        <v>6.31</v>
      </c>
      <c r="R798">
        <v>7</v>
      </c>
      <c r="S798" t="s">
        <v>3487</v>
      </c>
      <c r="T798">
        <v>5.62</v>
      </c>
      <c r="U798">
        <v>6.31</v>
      </c>
      <c r="V798">
        <v>7</v>
      </c>
    </row>
    <row r="799" spans="1:22">
      <c r="B799">
        <v>100</v>
      </c>
      <c r="C799">
        <v>118</v>
      </c>
      <c r="D799">
        <v>115</v>
      </c>
      <c r="E799">
        <v>119</v>
      </c>
      <c r="F799" t="s">
        <v>3484</v>
      </c>
      <c r="G799">
        <v>4.7</v>
      </c>
      <c r="H799">
        <v>5.4</v>
      </c>
      <c r="I799">
        <v>6.1</v>
      </c>
      <c r="J799" t="s">
        <v>3485</v>
      </c>
      <c r="O799" t="s">
        <v>3486</v>
      </c>
      <c r="P799">
        <v>5.8</v>
      </c>
      <c r="Q799">
        <v>6.5</v>
      </c>
      <c r="R799">
        <v>7.2</v>
      </c>
      <c r="S799" t="s">
        <v>3487</v>
      </c>
      <c r="T799">
        <v>5.8</v>
      </c>
      <c r="U799">
        <v>6.5</v>
      </c>
      <c r="V799">
        <v>7.2</v>
      </c>
    </row>
    <row r="800" spans="1:22">
      <c r="B800">
        <v>150</v>
      </c>
      <c r="C800">
        <v>170</v>
      </c>
      <c r="D800">
        <v>167</v>
      </c>
      <c r="E800">
        <v>171</v>
      </c>
      <c r="F800" t="s">
        <v>3484</v>
      </c>
      <c r="G800">
        <v>4.8499999999999996</v>
      </c>
      <c r="H800">
        <v>5.5750000000000002</v>
      </c>
      <c r="I800">
        <v>6.3</v>
      </c>
      <c r="J800" t="s">
        <v>3485</v>
      </c>
      <c r="O800" t="s">
        <v>3486</v>
      </c>
      <c r="P800">
        <v>6.35</v>
      </c>
      <c r="Q800">
        <v>7.0750000000000002</v>
      </c>
      <c r="R800">
        <v>7.8</v>
      </c>
      <c r="S800" t="s">
        <v>3487</v>
      </c>
      <c r="T800">
        <v>6.35</v>
      </c>
      <c r="U800">
        <v>7.0750000000000002</v>
      </c>
      <c r="V800">
        <v>7.8</v>
      </c>
    </row>
    <row r="801" spans="2:22">
      <c r="B801">
        <v>200</v>
      </c>
      <c r="C801">
        <v>222</v>
      </c>
      <c r="D801">
        <v>218.5</v>
      </c>
      <c r="E801">
        <v>223</v>
      </c>
      <c r="F801" t="s">
        <v>3484</v>
      </c>
      <c r="G801">
        <v>4.9000000000000004</v>
      </c>
      <c r="H801">
        <v>5.65</v>
      </c>
      <c r="I801">
        <v>6.4</v>
      </c>
      <c r="J801" t="s">
        <v>3485</v>
      </c>
      <c r="O801" t="s">
        <v>3486</v>
      </c>
      <c r="P801">
        <v>6.9</v>
      </c>
      <c r="Q801">
        <v>7.65</v>
      </c>
      <c r="R801">
        <v>8.4</v>
      </c>
      <c r="S801" t="s">
        <v>3487</v>
      </c>
      <c r="T801">
        <v>6.9</v>
      </c>
      <c r="U801">
        <v>7.65</v>
      </c>
      <c r="V801">
        <v>8.4</v>
      </c>
    </row>
    <row r="802" spans="2:22">
      <c r="B802">
        <v>250</v>
      </c>
      <c r="C802">
        <v>274</v>
      </c>
      <c r="D802">
        <v>270.5</v>
      </c>
      <c r="E802">
        <v>275</v>
      </c>
      <c r="F802" t="s">
        <v>3484</v>
      </c>
      <c r="G802">
        <v>5.25</v>
      </c>
      <c r="H802">
        <v>6.0250000000000004</v>
      </c>
      <c r="I802">
        <v>6.8</v>
      </c>
      <c r="J802" t="s">
        <v>3485</v>
      </c>
      <c r="O802" t="s">
        <v>3486</v>
      </c>
      <c r="P802">
        <v>7.45</v>
      </c>
      <c r="Q802">
        <v>8.2249999999999996</v>
      </c>
      <c r="R802">
        <v>9</v>
      </c>
      <c r="S802" t="s">
        <v>3487</v>
      </c>
      <c r="T802">
        <v>7.45</v>
      </c>
      <c r="U802">
        <v>8.2249999999999996</v>
      </c>
      <c r="V802">
        <v>9</v>
      </c>
    </row>
    <row r="803" spans="2:22">
      <c r="B803">
        <v>300</v>
      </c>
      <c r="C803">
        <v>326</v>
      </c>
      <c r="D803">
        <v>322.5</v>
      </c>
      <c r="E803">
        <v>327</v>
      </c>
      <c r="F803" t="s">
        <v>3484</v>
      </c>
      <c r="G803">
        <v>5.6</v>
      </c>
      <c r="H803">
        <v>6.4</v>
      </c>
      <c r="I803">
        <v>7.2</v>
      </c>
      <c r="J803" t="s">
        <v>3485</v>
      </c>
      <c r="K803">
        <v>5.6</v>
      </c>
      <c r="L803">
        <v>6.4</v>
      </c>
      <c r="N803">
        <v>7.2</v>
      </c>
      <c r="O803" t="s">
        <v>3486</v>
      </c>
      <c r="P803">
        <v>8</v>
      </c>
      <c r="Q803">
        <v>8.8000000000000007</v>
      </c>
      <c r="R803">
        <v>9.6</v>
      </c>
      <c r="S803" t="s">
        <v>3487</v>
      </c>
      <c r="T803">
        <v>8</v>
      </c>
      <c r="U803">
        <v>8.8000000000000007</v>
      </c>
      <c r="V803">
        <v>9.6</v>
      </c>
    </row>
    <row r="804" spans="2:22">
      <c r="B804">
        <v>350</v>
      </c>
      <c r="C804">
        <v>378</v>
      </c>
      <c r="D804">
        <v>374.5</v>
      </c>
      <c r="E804">
        <v>379</v>
      </c>
      <c r="F804" t="s">
        <v>3484</v>
      </c>
      <c r="G804">
        <v>6.05</v>
      </c>
      <c r="H804">
        <v>6.875</v>
      </c>
      <c r="I804">
        <v>7.7</v>
      </c>
      <c r="J804" t="s">
        <v>3485</v>
      </c>
      <c r="K804">
        <v>6.05</v>
      </c>
      <c r="L804">
        <v>6.875</v>
      </c>
      <c r="N804">
        <v>7.7</v>
      </c>
      <c r="O804" t="s">
        <v>3486</v>
      </c>
      <c r="P804">
        <v>8.5500000000000007</v>
      </c>
      <c r="Q804">
        <v>9.375</v>
      </c>
      <c r="R804">
        <v>10.199999999999999</v>
      </c>
      <c r="S804" t="s">
        <v>3487</v>
      </c>
      <c r="T804">
        <v>8.5500000000000007</v>
      </c>
      <c r="U804">
        <v>9.375</v>
      </c>
      <c r="V804">
        <v>10.199999999999999</v>
      </c>
    </row>
    <row r="805" spans="2:22">
      <c r="B805">
        <v>400</v>
      </c>
      <c r="C805">
        <v>429</v>
      </c>
      <c r="D805">
        <v>425</v>
      </c>
      <c r="E805">
        <v>430</v>
      </c>
      <c r="F805" t="s">
        <v>3484</v>
      </c>
      <c r="G805">
        <v>6.4</v>
      </c>
      <c r="H805">
        <v>7.25</v>
      </c>
      <c r="I805">
        <v>8.1</v>
      </c>
      <c r="J805" t="s">
        <v>3485</v>
      </c>
      <c r="K805">
        <v>6.4</v>
      </c>
      <c r="L805">
        <v>7.25</v>
      </c>
      <c r="N805">
        <v>8.1</v>
      </c>
      <c r="O805" t="s">
        <v>3486</v>
      </c>
      <c r="P805">
        <v>9.1</v>
      </c>
      <c r="Q805">
        <v>9.9499999999999993</v>
      </c>
      <c r="R805">
        <v>10.8</v>
      </c>
      <c r="S805" t="s">
        <v>3487</v>
      </c>
      <c r="T805">
        <v>9.1</v>
      </c>
      <c r="U805">
        <v>9.9499999999999993</v>
      </c>
      <c r="V805">
        <v>10.8</v>
      </c>
    </row>
    <row r="806" spans="2:22">
      <c r="B806">
        <v>450</v>
      </c>
      <c r="C806">
        <v>480</v>
      </c>
      <c r="D806">
        <v>476</v>
      </c>
      <c r="E806">
        <v>481</v>
      </c>
      <c r="F806" t="s">
        <v>3484</v>
      </c>
      <c r="G806">
        <v>6.85</v>
      </c>
      <c r="H806">
        <v>7.7249999999999996</v>
      </c>
      <c r="I806">
        <v>8.6</v>
      </c>
      <c r="J806" t="s">
        <v>3485</v>
      </c>
      <c r="K806">
        <v>6.85</v>
      </c>
      <c r="L806">
        <v>7.7249999999999996</v>
      </c>
      <c r="N806">
        <v>8.6</v>
      </c>
      <c r="O806" t="s">
        <v>3486</v>
      </c>
      <c r="P806">
        <v>9.65</v>
      </c>
      <c r="Q806">
        <v>10.525</v>
      </c>
      <c r="R806">
        <v>11.4</v>
      </c>
      <c r="S806" t="s">
        <v>3487</v>
      </c>
      <c r="T806">
        <v>9.65</v>
      </c>
      <c r="U806">
        <v>10.525</v>
      </c>
      <c r="V806">
        <v>11.4</v>
      </c>
    </row>
    <row r="807" spans="2:22">
      <c r="B807">
        <v>500</v>
      </c>
      <c r="C807">
        <v>532</v>
      </c>
      <c r="D807">
        <v>528</v>
      </c>
      <c r="E807">
        <v>533</v>
      </c>
      <c r="F807" t="s">
        <v>3484</v>
      </c>
      <c r="G807">
        <v>7.2</v>
      </c>
      <c r="H807">
        <v>8.1</v>
      </c>
      <c r="I807">
        <v>9</v>
      </c>
      <c r="J807" t="s">
        <v>3485</v>
      </c>
      <c r="K807">
        <v>7.2</v>
      </c>
      <c r="L807">
        <v>8.1</v>
      </c>
      <c r="N807">
        <v>9</v>
      </c>
      <c r="O807" t="s">
        <v>3486</v>
      </c>
      <c r="P807">
        <v>10.199999999999999</v>
      </c>
      <c r="Q807">
        <v>11.1</v>
      </c>
      <c r="R807">
        <v>12</v>
      </c>
      <c r="S807" t="s">
        <v>3487</v>
      </c>
      <c r="T807">
        <v>10.199999999999999</v>
      </c>
      <c r="U807">
        <v>11.1</v>
      </c>
      <c r="V807">
        <v>12</v>
      </c>
    </row>
    <row r="808" spans="2:22">
      <c r="B808">
        <v>600</v>
      </c>
      <c r="C808">
        <v>635</v>
      </c>
      <c r="D808">
        <v>630.5</v>
      </c>
      <c r="E808">
        <v>636</v>
      </c>
      <c r="F808" t="s">
        <v>3484</v>
      </c>
      <c r="G808">
        <v>8</v>
      </c>
      <c r="H808">
        <v>8.9499999999999993</v>
      </c>
      <c r="I808">
        <v>9.9</v>
      </c>
      <c r="J808" t="s">
        <v>3485</v>
      </c>
      <c r="K808">
        <v>8</v>
      </c>
      <c r="L808">
        <v>8.9499999999999993</v>
      </c>
      <c r="N808">
        <v>9.9</v>
      </c>
      <c r="O808" t="s">
        <v>3486</v>
      </c>
      <c r="P808">
        <v>11.3</v>
      </c>
      <c r="Q808">
        <v>12.25</v>
      </c>
      <c r="R808">
        <v>13.2</v>
      </c>
      <c r="S808" t="s">
        <v>3487</v>
      </c>
      <c r="T808">
        <v>11.3</v>
      </c>
      <c r="U808">
        <v>12.25</v>
      </c>
      <c r="V808">
        <v>13.2</v>
      </c>
    </row>
    <row r="809" spans="2:22">
      <c r="B809">
        <v>700</v>
      </c>
      <c r="C809">
        <v>738</v>
      </c>
      <c r="D809">
        <v>733.5</v>
      </c>
      <c r="E809">
        <v>739</v>
      </c>
      <c r="F809" t="s">
        <v>3484</v>
      </c>
      <c r="G809">
        <v>8.8000000000000007</v>
      </c>
      <c r="H809">
        <v>9.8000000000000007</v>
      </c>
      <c r="I809">
        <v>10.8</v>
      </c>
      <c r="J809" t="s">
        <v>3485</v>
      </c>
      <c r="K809">
        <v>8.8000000000000007</v>
      </c>
      <c r="L809">
        <v>9.8000000000000007</v>
      </c>
      <c r="N809">
        <v>10.8</v>
      </c>
      <c r="O809" t="s">
        <v>3486</v>
      </c>
      <c r="P809">
        <v>12.4</v>
      </c>
      <c r="Q809">
        <v>13.4</v>
      </c>
      <c r="R809">
        <v>14.4</v>
      </c>
      <c r="S809" t="s">
        <v>3487</v>
      </c>
    </row>
    <row r="810" spans="2:22">
      <c r="B810">
        <v>800</v>
      </c>
      <c r="C810">
        <v>842</v>
      </c>
      <c r="D810">
        <v>837.5</v>
      </c>
      <c r="E810">
        <v>843</v>
      </c>
      <c r="F810" t="s">
        <v>3484</v>
      </c>
      <c r="G810">
        <v>9.6</v>
      </c>
      <c r="H810">
        <v>10.65</v>
      </c>
      <c r="I810">
        <v>11.7</v>
      </c>
      <c r="J810" t="s">
        <v>3485</v>
      </c>
      <c r="K810">
        <v>9.6</v>
      </c>
      <c r="L810">
        <v>10.65</v>
      </c>
      <c r="N810">
        <v>11.7</v>
      </c>
      <c r="O810" t="s">
        <v>3486</v>
      </c>
      <c r="P810">
        <v>13.5</v>
      </c>
      <c r="Q810">
        <v>14.55</v>
      </c>
      <c r="R810">
        <v>15.6</v>
      </c>
      <c r="S810" t="s">
        <v>3487</v>
      </c>
    </row>
    <row r="811" spans="2:22">
      <c r="B811">
        <v>900</v>
      </c>
      <c r="C811">
        <v>945</v>
      </c>
      <c r="D811">
        <v>940</v>
      </c>
      <c r="E811">
        <v>946</v>
      </c>
      <c r="F811" t="s">
        <v>3484</v>
      </c>
      <c r="G811">
        <v>10.4</v>
      </c>
      <c r="H811">
        <v>11.5</v>
      </c>
      <c r="I811">
        <v>12.6</v>
      </c>
      <c r="J811" t="s">
        <v>3485</v>
      </c>
      <c r="K811">
        <v>10.4</v>
      </c>
      <c r="L811">
        <v>11.5</v>
      </c>
      <c r="N811">
        <v>12.6</v>
      </c>
      <c r="O811" t="s">
        <v>3486</v>
      </c>
      <c r="P811">
        <v>14.6</v>
      </c>
      <c r="Q811">
        <v>15.7</v>
      </c>
      <c r="R811">
        <v>16.8</v>
      </c>
      <c r="S811" t="s">
        <v>3487</v>
      </c>
    </row>
    <row r="812" spans="2:22">
      <c r="B812">
        <v>1000</v>
      </c>
      <c r="C812">
        <v>1048</v>
      </c>
      <c r="D812">
        <v>1043</v>
      </c>
      <c r="E812">
        <v>1049</v>
      </c>
      <c r="F812" t="s">
        <v>3484</v>
      </c>
      <c r="G812">
        <v>11.2</v>
      </c>
      <c r="H812">
        <v>12.35</v>
      </c>
      <c r="I812">
        <v>13.5</v>
      </c>
      <c r="J812" t="s">
        <v>3485</v>
      </c>
      <c r="K812">
        <v>11.2</v>
      </c>
      <c r="L812">
        <v>12.35</v>
      </c>
      <c r="N812">
        <v>13.5</v>
      </c>
      <c r="O812" t="s">
        <v>3486</v>
      </c>
      <c r="P812">
        <v>15.7</v>
      </c>
      <c r="Q812">
        <v>16.850000000000001</v>
      </c>
      <c r="R812">
        <v>18</v>
      </c>
      <c r="S812" t="s">
        <v>3487</v>
      </c>
    </row>
    <row r="813" spans="2:22">
      <c r="B813">
        <v>1100</v>
      </c>
      <c r="C813">
        <v>1152</v>
      </c>
      <c r="D813">
        <v>1146</v>
      </c>
      <c r="E813">
        <v>1153</v>
      </c>
      <c r="F813" t="s">
        <v>3484</v>
      </c>
      <c r="G813">
        <v>12</v>
      </c>
      <c r="H813">
        <v>13.2</v>
      </c>
      <c r="I813">
        <v>14.4</v>
      </c>
      <c r="J813" t="s">
        <v>3485</v>
      </c>
      <c r="K813">
        <v>12</v>
      </c>
      <c r="L813">
        <v>13.2</v>
      </c>
      <c r="N813">
        <v>14.4</v>
      </c>
      <c r="O813" t="s">
        <v>3486</v>
      </c>
      <c r="P813">
        <v>16.8</v>
      </c>
      <c r="Q813">
        <v>18</v>
      </c>
      <c r="R813">
        <v>19.2</v>
      </c>
      <c r="S813" t="s">
        <v>3487</v>
      </c>
    </row>
    <row r="814" spans="2:22">
      <c r="B814">
        <v>1200</v>
      </c>
      <c r="C814">
        <v>1255</v>
      </c>
      <c r="D814">
        <v>1249</v>
      </c>
      <c r="E814">
        <v>1256</v>
      </c>
      <c r="F814" t="s">
        <v>3484</v>
      </c>
      <c r="G814">
        <v>12.8</v>
      </c>
      <c r="H814">
        <v>14.05</v>
      </c>
      <c r="I814">
        <v>15.3</v>
      </c>
      <c r="J814" t="s">
        <v>3485</v>
      </c>
      <c r="K814">
        <v>12.8</v>
      </c>
      <c r="L814">
        <v>14.05</v>
      </c>
      <c r="N814">
        <v>15.3</v>
      </c>
      <c r="O814" t="s">
        <v>3486</v>
      </c>
      <c r="P814">
        <v>17.899999999999999</v>
      </c>
      <c r="Q814">
        <v>19.149999999999999</v>
      </c>
      <c r="R814">
        <v>20.399999999999999</v>
      </c>
      <c r="S814" t="s">
        <v>3487</v>
      </c>
    </row>
    <row r="815" spans="2:22">
      <c r="B815">
        <v>1400</v>
      </c>
      <c r="C815">
        <v>1462</v>
      </c>
      <c r="D815">
        <v>1455</v>
      </c>
      <c r="E815">
        <v>1463</v>
      </c>
      <c r="F815" t="s">
        <v>3484</v>
      </c>
      <c r="G815">
        <v>14.4</v>
      </c>
      <c r="H815">
        <v>15.75</v>
      </c>
      <c r="I815">
        <v>17.100000000000001</v>
      </c>
      <c r="J815" t="s">
        <v>3485</v>
      </c>
      <c r="O815" t="s">
        <v>3486</v>
      </c>
      <c r="P815">
        <v>20.100000000000001</v>
      </c>
      <c r="Q815">
        <v>21.45</v>
      </c>
      <c r="R815">
        <v>22.8</v>
      </c>
      <c r="S815" t="s">
        <v>3487</v>
      </c>
    </row>
    <row r="816" spans="2:22">
      <c r="B816">
        <v>1600</v>
      </c>
      <c r="C816">
        <v>1668</v>
      </c>
      <c r="D816">
        <v>1660</v>
      </c>
      <c r="E816">
        <v>1669</v>
      </c>
      <c r="F816" t="s">
        <v>3484</v>
      </c>
      <c r="G816">
        <v>16</v>
      </c>
      <c r="H816">
        <v>17.45</v>
      </c>
      <c r="I816">
        <v>18.899999999999999</v>
      </c>
      <c r="J816" t="s">
        <v>3485</v>
      </c>
      <c r="O816" t="s">
        <v>3486</v>
      </c>
      <c r="P816">
        <v>22.3</v>
      </c>
      <c r="Q816">
        <v>23.75</v>
      </c>
      <c r="R816">
        <v>25.2</v>
      </c>
      <c r="S816" t="s">
        <v>3487</v>
      </c>
    </row>
    <row r="821" spans="2:23">
      <c r="B821" t="s">
        <v>3488</v>
      </c>
    </row>
    <row r="822" spans="2:23">
      <c r="B822" t="s">
        <v>3441</v>
      </c>
      <c r="F822" t="s">
        <v>3480</v>
      </c>
      <c r="O822" t="s">
        <v>3481</v>
      </c>
    </row>
    <row r="823" spans="2:23">
      <c r="B823" t="s">
        <v>3460</v>
      </c>
      <c r="C823" t="s">
        <v>3482</v>
      </c>
      <c r="D823" t="s">
        <v>3393</v>
      </c>
      <c r="E823" t="s">
        <v>3394</v>
      </c>
      <c r="F823" t="s">
        <v>3467</v>
      </c>
      <c r="G823" t="s">
        <v>3395</v>
      </c>
      <c r="H823" t="s">
        <v>3489</v>
      </c>
      <c r="I823" t="s">
        <v>3483</v>
      </c>
      <c r="K823" t="s">
        <v>3395</v>
      </c>
      <c r="M823" t="s">
        <v>3483</v>
      </c>
      <c r="N823" t="s">
        <v>3490</v>
      </c>
      <c r="P823" t="s">
        <v>3395</v>
      </c>
      <c r="R823" t="s">
        <v>3483</v>
      </c>
      <c r="T823" t="s">
        <v>3395</v>
      </c>
      <c r="V823" t="s">
        <v>3483</v>
      </c>
      <c r="W823" t="s">
        <v>3490</v>
      </c>
    </row>
    <row r="824" spans="2:23">
      <c r="B824">
        <v>80</v>
      </c>
      <c r="C824">
        <v>98</v>
      </c>
      <c r="D824">
        <v>95</v>
      </c>
      <c r="E824">
        <v>99</v>
      </c>
      <c r="F824" t="s">
        <v>3484</v>
      </c>
      <c r="G824">
        <v>4.62</v>
      </c>
      <c r="H824">
        <v>5.31</v>
      </c>
      <c r="I824">
        <v>6</v>
      </c>
      <c r="J824" t="s">
        <v>3485</v>
      </c>
      <c r="K824">
        <v>4.62</v>
      </c>
      <c r="L824">
        <v>5.31</v>
      </c>
      <c r="M824">
        <v>6</v>
      </c>
      <c r="N824">
        <v>1313</v>
      </c>
      <c r="O824" t="s">
        <v>3486</v>
      </c>
      <c r="P824">
        <v>5.62</v>
      </c>
      <c r="Q824">
        <v>6.31</v>
      </c>
      <c r="R824">
        <v>7</v>
      </c>
      <c r="S824" t="s">
        <v>3487</v>
      </c>
      <c r="T824">
        <v>5.62</v>
      </c>
      <c r="U824">
        <v>6.31</v>
      </c>
      <c r="V824">
        <v>7</v>
      </c>
      <c r="W824">
        <v>1326</v>
      </c>
    </row>
    <row r="825" spans="2:23">
      <c r="B825">
        <v>100</v>
      </c>
      <c r="C825">
        <v>118</v>
      </c>
      <c r="D825">
        <v>115</v>
      </c>
      <c r="E825">
        <v>119</v>
      </c>
      <c r="F825" t="s">
        <v>3484</v>
      </c>
      <c r="G825">
        <v>4.7</v>
      </c>
      <c r="H825">
        <v>5.4</v>
      </c>
      <c r="I825">
        <v>6.1</v>
      </c>
      <c r="J825" t="s">
        <v>3485</v>
      </c>
      <c r="K825">
        <v>4.7</v>
      </c>
      <c r="L825">
        <v>5.4</v>
      </c>
      <c r="M825">
        <v>6.1</v>
      </c>
      <c r="N825">
        <v>1291</v>
      </c>
      <c r="O825" t="s">
        <v>3486</v>
      </c>
      <c r="P825">
        <v>5.8</v>
      </c>
      <c r="Q825">
        <v>6.5</v>
      </c>
      <c r="R825">
        <v>7.2</v>
      </c>
      <c r="S825" t="s">
        <v>3487</v>
      </c>
      <c r="T825">
        <v>5.8</v>
      </c>
      <c r="U825">
        <v>6.5</v>
      </c>
      <c r="V825">
        <v>7.2</v>
      </c>
      <c r="W825">
        <v>1308</v>
      </c>
    </row>
    <row r="826" spans="2:23">
      <c r="B826">
        <v>150</v>
      </c>
      <c r="C826">
        <v>170</v>
      </c>
      <c r="D826">
        <v>167</v>
      </c>
      <c r="E826">
        <v>171</v>
      </c>
      <c r="F826" t="s">
        <v>3484</v>
      </c>
      <c r="G826">
        <v>4.8499999999999996</v>
      </c>
      <c r="H826">
        <v>5.5750000000000002</v>
      </c>
      <c r="I826">
        <v>6.3</v>
      </c>
      <c r="J826" t="s">
        <v>3485</v>
      </c>
      <c r="K826">
        <v>4.8499999999999996</v>
      </c>
      <c r="L826">
        <v>5.5750000000000002</v>
      </c>
      <c r="M826">
        <v>6.3</v>
      </c>
      <c r="N826">
        <v>1243</v>
      </c>
      <c r="O826" t="s">
        <v>3486</v>
      </c>
      <c r="P826">
        <v>6.35</v>
      </c>
      <c r="Q826">
        <v>7.0750000000000002</v>
      </c>
      <c r="R826">
        <v>7.8</v>
      </c>
      <c r="S826" t="s">
        <v>3487</v>
      </c>
      <c r="T826">
        <v>6.35</v>
      </c>
      <c r="U826">
        <v>7.0750000000000002</v>
      </c>
      <c r="V826">
        <v>7.8</v>
      </c>
      <c r="W826">
        <v>1272</v>
      </c>
    </row>
    <row r="827" spans="2:23">
      <c r="B827">
        <v>200</v>
      </c>
      <c r="C827">
        <v>222</v>
      </c>
      <c r="D827">
        <v>218.5</v>
      </c>
      <c r="E827">
        <v>223</v>
      </c>
      <c r="F827" t="s">
        <v>3484</v>
      </c>
      <c r="G827">
        <v>4.9000000000000004</v>
      </c>
      <c r="H827">
        <v>5.65</v>
      </c>
      <c r="I827">
        <v>6.4</v>
      </c>
      <c r="J827" t="s">
        <v>3485</v>
      </c>
      <c r="K827">
        <v>4.9000000000000004</v>
      </c>
      <c r="L827">
        <v>5.65</v>
      </c>
      <c r="M827">
        <v>6.4</v>
      </c>
      <c r="N827">
        <v>1201</v>
      </c>
      <c r="O827" t="s">
        <v>3486</v>
      </c>
      <c r="P827">
        <v>6.9</v>
      </c>
      <c r="Q827">
        <v>7.65</v>
      </c>
      <c r="R827">
        <v>8.4</v>
      </c>
      <c r="S827" t="s">
        <v>3487</v>
      </c>
      <c r="T827">
        <v>6.9</v>
      </c>
      <c r="U827">
        <v>7.65</v>
      </c>
      <c r="V827">
        <v>8.4</v>
      </c>
      <c r="W827">
        <v>1244</v>
      </c>
    </row>
    <row r="828" spans="2:23">
      <c r="B828">
        <v>250</v>
      </c>
      <c r="C828">
        <v>274</v>
      </c>
      <c r="D828">
        <v>270.5</v>
      </c>
      <c r="E828">
        <v>275</v>
      </c>
      <c r="F828" t="s">
        <v>3484</v>
      </c>
      <c r="G828">
        <v>5.25</v>
      </c>
      <c r="H828">
        <v>6.0250000000000004</v>
      </c>
      <c r="I828">
        <v>6.8</v>
      </c>
      <c r="J828" t="s">
        <v>3485</v>
      </c>
      <c r="K828">
        <v>5.25</v>
      </c>
      <c r="L828">
        <v>6.0250000000000004</v>
      </c>
      <c r="M828">
        <v>6.8</v>
      </c>
      <c r="N828">
        <v>1171</v>
      </c>
      <c r="O828" t="s">
        <v>3486</v>
      </c>
      <c r="P828">
        <v>7.45</v>
      </c>
      <c r="Q828">
        <v>8.2249999999999996</v>
      </c>
      <c r="R828">
        <v>9</v>
      </c>
      <c r="S828" t="s">
        <v>3487</v>
      </c>
      <c r="T828">
        <v>7.45</v>
      </c>
      <c r="U828">
        <v>8.2249999999999996</v>
      </c>
      <c r="V828">
        <v>9</v>
      </c>
      <c r="W828">
        <v>1220</v>
      </c>
    </row>
    <row r="829" spans="2:23">
      <c r="B829">
        <v>300</v>
      </c>
      <c r="C829">
        <v>326</v>
      </c>
      <c r="D829">
        <v>322.5</v>
      </c>
      <c r="E829">
        <v>327</v>
      </c>
      <c r="F829" t="s">
        <v>3484</v>
      </c>
      <c r="G829">
        <v>5.6</v>
      </c>
      <c r="H829">
        <v>6.4</v>
      </c>
      <c r="I829">
        <v>7.2</v>
      </c>
      <c r="J829" t="s">
        <v>3485</v>
      </c>
      <c r="K829">
        <v>5.6</v>
      </c>
      <c r="L829">
        <v>6.4</v>
      </c>
      <c r="M829">
        <v>7.2</v>
      </c>
      <c r="N829">
        <v>1148</v>
      </c>
      <c r="O829" t="s">
        <v>3486</v>
      </c>
      <c r="P829">
        <v>8</v>
      </c>
      <c r="Q829">
        <v>8.8000000000000007</v>
      </c>
      <c r="R829">
        <v>9.6</v>
      </c>
      <c r="S829" t="s">
        <v>3487</v>
      </c>
      <c r="T829">
        <v>8</v>
      </c>
      <c r="U829">
        <v>8.8000000000000007</v>
      </c>
      <c r="V829">
        <v>9.6</v>
      </c>
      <c r="W829">
        <v>1201</v>
      </c>
    </row>
    <row r="830" spans="2:23">
      <c r="B830">
        <v>350</v>
      </c>
      <c r="C830">
        <v>378</v>
      </c>
      <c r="D830">
        <v>374.5</v>
      </c>
      <c r="E830">
        <v>379</v>
      </c>
      <c r="F830" t="s">
        <v>3484</v>
      </c>
      <c r="G830">
        <v>6.05</v>
      </c>
      <c r="H830">
        <v>6.875</v>
      </c>
      <c r="I830">
        <v>7.7</v>
      </c>
      <c r="J830" t="s">
        <v>3485</v>
      </c>
      <c r="K830">
        <v>6.05</v>
      </c>
      <c r="L830">
        <v>6.875</v>
      </c>
      <c r="M830">
        <v>7.7</v>
      </c>
      <c r="N830">
        <v>1129</v>
      </c>
      <c r="O830" t="s">
        <v>3486</v>
      </c>
      <c r="P830">
        <v>8.5500000000000007</v>
      </c>
      <c r="Q830">
        <v>9.375</v>
      </c>
      <c r="R830">
        <v>10.199999999999999</v>
      </c>
      <c r="S830" t="s">
        <v>3487</v>
      </c>
      <c r="T830">
        <v>8.5500000000000007</v>
      </c>
      <c r="U830">
        <v>9.375</v>
      </c>
      <c r="V830">
        <v>10.199999999999999</v>
      </c>
      <c r="W830">
        <v>1185</v>
      </c>
    </row>
    <row r="831" spans="2:23">
      <c r="B831">
        <v>400</v>
      </c>
      <c r="C831">
        <v>429</v>
      </c>
      <c r="D831">
        <v>425</v>
      </c>
      <c r="E831">
        <v>430</v>
      </c>
      <c r="F831" t="s">
        <v>3484</v>
      </c>
      <c r="G831">
        <v>6.4</v>
      </c>
      <c r="H831">
        <v>7.25</v>
      </c>
      <c r="I831">
        <v>8.1</v>
      </c>
      <c r="J831" t="s">
        <v>3485</v>
      </c>
      <c r="K831">
        <v>6.4</v>
      </c>
      <c r="L831">
        <v>7.25</v>
      </c>
      <c r="M831">
        <v>8.1</v>
      </c>
      <c r="N831">
        <v>1113</v>
      </c>
      <c r="O831" t="s">
        <v>3486</v>
      </c>
      <c r="P831">
        <v>9.1</v>
      </c>
      <c r="Q831">
        <v>9.9499999999999993</v>
      </c>
      <c r="R831">
        <v>10.8</v>
      </c>
      <c r="S831" t="s">
        <v>3487</v>
      </c>
      <c r="T831">
        <v>9.1</v>
      </c>
      <c r="U831">
        <v>9.9499999999999993</v>
      </c>
      <c r="V831">
        <v>10.8</v>
      </c>
      <c r="W831">
        <v>1171</v>
      </c>
    </row>
    <row r="832" spans="2:23">
      <c r="B832">
        <v>450</v>
      </c>
      <c r="C832">
        <v>480</v>
      </c>
      <c r="D832">
        <v>476</v>
      </c>
      <c r="E832">
        <v>481</v>
      </c>
      <c r="F832" t="s">
        <v>3484</v>
      </c>
      <c r="G832">
        <v>6.85</v>
      </c>
      <c r="H832">
        <v>7.7249999999999996</v>
      </c>
      <c r="I832">
        <v>8.6</v>
      </c>
      <c r="J832" t="s">
        <v>3485</v>
      </c>
      <c r="K832">
        <v>6.85</v>
      </c>
      <c r="L832">
        <v>7.7249999999999996</v>
      </c>
      <c r="M832">
        <v>8.6</v>
      </c>
      <c r="N832">
        <v>1099</v>
      </c>
      <c r="O832" t="s">
        <v>3486</v>
      </c>
      <c r="P832">
        <v>9.65</v>
      </c>
      <c r="Q832">
        <v>10.525</v>
      </c>
      <c r="R832">
        <v>11.4</v>
      </c>
      <c r="S832" t="s">
        <v>3487</v>
      </c>
      <c r="T832">
        <v>9.65</v>
      </c>
      <c r="U832">
        <v>10.525</v>
      </c>
      <c r="V832">
        <v>11.4</v>
      </c>
      <c r="W832">
        <v>1159</v>
      </c>
    </row>
    <row r="833" spans="2:23">
      <c r="B833">
        <v>500</v>
      </c>
      <c r="C833">
        <v>532</v>
      </c>
      <c r="D833">
        <v>528</v>
      </c>
      <c r="E833">
        <v>533</v>
      </c>
      <c r="F833" t="s">
        <v>3484</v>
      </c>
      <c r="G833">
        <v>7.2</v>
      </c>
      <c r="H833">
        <v>8.1</v>
      </c>
      <c r="I833">
        <v>9</v>
      </c>
      <c r="J833" t="s">
        <v>3485</v>
      </c>
      <c r="K833">
        <v>7.2</v>
      </c>
      <c r="L833">
        <v>8.1</v>
      </c>
      <c r="M833">
        <v>9</v>
      </c>
      <c r="N833">
        <v>1087</v>
      </c>
      <c r="O833" t="s">
        <v>3486</v>
      </c>
      <c r="P833">
        <v>10.199999999999999</v>
      </c>
      <c r="Q833">
        <v>11.1</v>
      </c>
      <c r="R833">
        <v>12</v>
      </c>
      <c r="S833" t="s">
        <v>3487</v>
      </c>
      <c r="T833">
        <v>10.199999999999999</v>
      </c>
      <c r="U833">
        <v>11.1</v>
      </c>
      <c r="V833">
        <v>12</v>
      </c>
      <c r="W833">
        <v>1148</v>
      </c>
    </row>
    <row r="834" spans="2:23">
      <c r="B834">
        <v>600</v>
      </c>
      <c r="C834">
        <v>635</v>
      </c>
      <c r="D834">
        <v>630.5</v>
      </c>
      <c r="E834">
        <v>636</v>
      </c>
      <c r="F834" t="s">
        <v>3484</v>
      </c>
      <c r="G834">
        <v>8</v>
      </c>
      <c r="H834">
        <v>8.9499999999999993</v>
      </c>
      <c r="I834">
        <v>9.9</v>
      </c>
      <c r="J834" t="s">
        <v>3485</v>
      </c>
      <c r="K834">
        <v>8</v>
      </c>
      <c r="L834">
        <v>8.9499999999999993</v>
      </c>
      <c r="M834">
        <v>9.9</v>
      </c>
      <c r="N834">
        <v>1067</v>
      </c>
      <c r="O834" t="s">
        <v>3486</v>
      </c>
      <c r="P834">
        <v>11.3</v>
      </c>
      <c r="Q834">
        <v>12.25</v>
      </c>
      <c r="R834">
        <v>13.2</v>
      </c>
      <c r="S834" t="s">
        <v>3487</v>
      </c>
      <c r="T834">
        <v>11.3</v>
      </c>
      <c r="U834">
        <v>12.25</v>
      </c>
      <c r="V834">
        <v>13.2</v>
      </c>
      <c r="W834">
        <v>1130</v>
      </c>
    </row>
    <row r="835" spans="2:23">
      <c r="B835">
        <v>700</v>
      </c>
      <c r="C835">
        <v>738</v>
      </c>
      <c r="D835">
        <v>733.5</v>
      </c>
      <c r="E835">
        <v>739</v>
      </c>
      <c r="F835" t="s">
        <v>3484</v>
      </c>
      <c r="G835">
        <v>8.8000000000000007</v>
      </c>
      <c r="H835">
        <v>9.8000000000000007</v>
      </c>
      <c r="I835">
        <v>10.8</v>
      </c>
      <c r="J835" t="s">
        <v>3485</v>
      </c>
      <c r="K835">
        <v>8.8000000000000007</v>
      </c>
      <c r="L835">
        <v>9.8000000000000007</v>
      </c>
      <c r="M835">
        <v>10.8</v>
      </c>
      <c r="N835">
        <v>1051</v>
      </c>
      <c r="O835" t="s">
        <v>3486</v>
      </c>
      <c r="P835">
        <v>12.4</v>
      </c>
      <c r="Q835">
        <v>13.4</v>
      </c>
      <c r="R835">
        <v>14.4</v>
      </c>
      <c r="W835">
        <v>1116</v>
      </c>
    </row>
    <row r="836" spans="2:23">
      <c r="B836">
        <v>800</v>
      </c>
      <c r="C836">
        <v>842</v>
      </c>
      <c r="D836">
        <v>837.5</v>
      </c>
      <c r="E836">
        <v>843</v>
      </c>
      <c r="F836" t="s">
        <v>3484</v>
      </c>
      <c r="G836">
        <v>9.6</v>
      </c>
      <c r="H836">
        <v>10.65</v>
      </c>
      <c r="I836">
        <v>11.7</v>
      </c>
      <c r="J836" t="s">
        <v>3485</v>
      </c>
      <c r="K836">
        <v>9.6</v>
      </c>
      <c r="L836">
        <v>10.65</v>
      </c>
      <c r="M836">
        <v>11.7</v>
      </c>
      <c r="N836">
        <v>1039</v>
      </c>
      <c r="O836" t="s">
        <v>3486</v>
      </c>
      <c r="P836">
        <v>13.5</v>
      </c>
      <c r="Q836">
        <v>14.55</v>
      </c>
      <c r="R836">
        <v>15.6</v>
      </c>
      <c r="W836">
        <v>1105</v>
      </c>
    </row>
    <row r="837" spans="2:23">
      <c r="B837">
        <v>900</v>
      </c>
      <c r="C837">
        <v>945</v>
      </c>
      <c r="D837">
        <v>940</v>
      </c>
      <c r="E837">
        <v>946</v>
      </c>
      <c r="F837" t="s">
        <v>3484</v>
      </c>
      <c r="G837">
        <v>10.4</v>
      </c>
      <c r="H837">
        <v>11.5</v>
      </c>
      <c r="I837">
        <v>12.6</v>
      </c>
      <c r="J837" t="s">
        <v>3485</v>
      </c>
      <c r="K837">
        <v>10.4</v>
      </c>
      <c r="L837">
        <v>11.5</v>
      </c>
      <c r="M837">
        <v>12.6</v>
      </c>
      <c r="N837">
        <v>1028</v>
      </c>
      <c r="O837" t="s">
        <v>3486</v>
      </c>
      <c r="P837">
        <v>14.6</v>
      </c>
      <c r="Q837">
        <v>15.7</v>
      </c>
      <c r="R837">
        <v>16.8</v>
      </c>
      <c r="W837">
        <v>1095</v>
      </c>
    </row>
    <row r="838" spans="2:23">
      <c r="B838">
        <v>1000</v>
      </c>
      <c r="C838">
        <v>1048</v>
      </c>
      <c r="D838">
        <v>1043</v>
      </c>
      <c r="E838">
        <v>1049</v>
      </c>
      <c r="F838" t="s">
        <v>3484</v>
      </c>
      <c r="G838">
        <v>11.2</v>
      </c>
      <c r="H838">
        <v>12.35</v>
      </c>
      <c r="I838">
        <v>13.5</v>
      </c>
      <c r="J838" t="s">
        <v>3485</v>
      </c>
      <c r="K838">
        <v>11.2</v>
      </c>
      <c r="L838">
        <v>12.35</v>
      </c>
      <c r="M838">
        <v>13.5</v>
      </c>
      <c r="N838">
        <v>1019</v>
      </c>
      <c r="O838" t="s">
        <v>3486</v>
      </c>
      <c r="P838">
        <v>15.7</v>
      </c>
      <c r="Q838">
        <v>16.850000000000001</v>
      </c>
      <c r="R838">
        <v>18</v>
      </c>
      <c r="W838">
        <v>1087</v>
      </c>
    </row>
    <row r="839" spans="2:23">
      <c r="B839">
        <v>1100</v>
      </c>
      <c r="C839">
        <v>1152</v>
      </c>
      <c r="D839">
        <v>1146</v>
      </c>
      <c r="E839">
        <v>1153</v>
      </c>
      <c r="F839" t="s">
        <v>3484</v>
      </c>
      <c r="G839">
        <v>12</v>
      </c>
      <c r="H839">
        <v>13.2</v>
      </c>
      <c r="I839">
        <v>14.4</v>
      </c>
      <c r="J839" t="s">
        <v>3485</v>
      </c>
      <c r="K839">
        <v>12</v>
      </c>
      <c r="L839">
        <v>13.2</v>
      </c>
      <c r="M839">
        <v>14.4</v>
      </c>
      <c r="N839">
        <v>1012</v>
      </c>
      <c r="O839" t="s">
        <v>3486</v>
      </c>
      <c r="P839">
        <v>16.8</v>
      </c>
      <c r="Q839">
        <v>18</v>
      </c>
      <c r="R839">
        <v>19.2</v>
      </c>
      <c r="W839">
        <v>1080</v>
      </c>
    </row>
    <row r="840" spans="2:23">
      <c r="B840">
        <v>1200</v>
      </c>
      <c r="C840">
        <v>1255</v>
      </c>
      <c r="D840">
        <v>1249</v>
      </c>
      <c r="E840">
        <v>1256</v>
      </c>
      <c r="F840" t="s">
        <v>3484</v>
      </c>
      <c r="G840">
        <v>12.8</v>
      </c>
      <c r="H840">
        <v>14.05</v>
      </c>
      <c r="I840">
        <v>15.3</v>
      </c>
      <c r="J840" t="s">
        <v>3485</v>
      </c>
      <c r="K840">
        <v>12.8</v>
      </c>
      <c r="L840">
        <v>14.05</v>
      </c>
      <c r="M840">
        <v>15.3</v>
      </c>
      <c r="N840">
        <v>1005</v>
      </c>
      <c r="O840" t="s">
        <v>3486</v>
      </c>
      <c r="P840">
        <v>17.899999999999999</v>
      </c>
      <c r="Q840">
        <v>19.149999999999999</v>
      </c>
      <c r="R840">
        <v>20.399999999999999</v>
      </c>
      <c r="W840">
        <v>1074</v>
      </c>
    </row>
    <row r="841" spans="2:23">
      <c r="B841">
        <v>1400</v>
      </c>
      <c r="C841">
        <v>1462</v>
      </c>
      <c r="D841">
        <v>1455</v>
      </c>
      <c r="E841">
        <v>1463</v>
      </c>
      <c r="F841" t="s">
        <v>3484</v>
      </c>
      <c r="G841">
        <v>14.4</v>
      </c>
      <c r="H841">
        <v>15.75</v>
      </c>
      <c r="I841">
        <v>17.100000000000001</v>
      </c>
      <c r="J841" t="s">
        <v>3485</v>
      </c>
      <c r="K841">
        <v>14.4</v>
      </c>
      <c r="L841">
        <v>15.75</v>
      </c>
      <c r="M841">
        <v>17.100000000000001</v>
      </c>
      <c r="N841">
        <v>994</v>
      </c>
      <c r="O841" t="s">
        <v>3486</v>
      </c>
      <c r="P841">
        <v>20.100000000000001</v>
      </c>
      <c r="Q841">
        <v>21.45</v>
      </c>
      <c r="R841">
        <v>22.8</v>
      </c>
      <c r="W841">
        <v>1064</v>
      </c>
    </row>
    <row r="845" spans="2:23">
      <c r="B845" t="s">
        <v>3491</v>
      </c>
    </row>
    <row r="846" spans="2:23">
      <c r="B846" t="s">
        <v>3441</v>
      </c>
      <c r="F846" t="s">
        <v>3492</v>
      </c>
      <c r="J846" t="s">
        <v>3493</v>
      </c>
    </row>
    <row r="847" spans="2:23">
      <c r="B847" t="s">
        <v>3460</v>
      </c>
      <c r="C847" t="s">
        <v>3482</v>
      </c>
      <c r="D847" t="s">
        <v>3393</v>
      </c>
      <c r="E847" t="s">
        <v>3394</v>
      </c>
      <c r="F847" t="s">
        <v>3494</v>
      </c>
      <c r="G847" t="s">
        <v>3395</v>
      </c>
      <c r="I847" t="s">
        <v>3483</v>
      </c>
      <c r="J847" t="s">
        <v>3494</v>
      </c>
      <c r="K847" t="s">
        <v>3483</v>
      </c>
      <c r="N847" t="s">
        <v>3395</v>
      </c>
    </row>
    <row r="848" spans="2:23">
      <c r="B848">
        <v>40</v>
      </c>
      <c r="C848">
        <v>56</v>
      </c>
      <c r="D848">
        <v>54.8</v>
      </c>
      <c r="E848">
        <v>57</v>
      </c>
      <c r="F848" t="s">
        <v>3495</v>
      </c>
      <c r="G848">
        <v>4.7</v>
      </c>
      <c r="H848">
        <v>5.35</v>
      </c>
      <c r="I848">
        <v>6</v>
      </c>
      <c r="J848" t="s">
        <v>3496</v>
      </c>
      <c r="K848">
        <v>6</v>
      </c>
      <c r="L848">
        <v>5.35</v>
      </c>
      <c r="N848">
        <v>4.7</v>
      </c>
    </row>
    <row r="849" spans="2:14">
      <c r="B849">
        <v>50</v>
      </c>
      <c r="C849">
        <v>66</v>
      </c>
      <c r="D849">
        <v>64.8</v>
      </c>
      <c r="E849">
        <v>67</v>
      </c>
      <c r="F849" t="s">
        <v>3495</v>
      </c>
      <c r="G849">
        <v>4.7</v>
      </c>
      <c r="H849">
        <v>5.35</v>
      </c>
      <c r="I849">
        <v>6</v>
      </c>
      <c r="J849" t="s">
        <v>3496</v>
      </c>
      <c r="K849">
        <v>6</v>
      </c>
      <c r="L849">
        <v>5.35</v>
      </c>
      <c r="N849">
        <v>4.7</v>
      </c>
    </row>
    <row r="850" spans="2:14">
      <c r="B850">
        <v>60</v>
      </c>
      <c r="C850">
        <v>77</v>
      </c>
      <c r="D850">
        <v>75.8</v>
      </c>
      <c r="E850">
        <v>78</v>
      </c>
      <c r="F850" t="s">
        <v>3495</v>
      </c>
      <c r="G850">
        <v>4.7</v>
      </c>
      <c r="H850">
        <v>5.35</v>
      </c>
      <c r="I850">
        <v>6</v>
      </c>
      <c r="J850" t="s">
        <v>3496</v>
      </c>
      <c r="K850">
        <v>6</v>
      </c>
      <c r="L850">
        <v>5.35</v>
      </c>
      <c r="N850">
        <v>4.7</v>
      </c>
    </row>
    <row r="851" spans="2:14">
      <c r="B851">
        <v>65</v>
      </c>
      <c r="C851">
        <v>82</v>
      </c>
      <c r="D851">
        <v>80.8</v>
      </c>
      <c r="E851">
        <v>83</v>
      </c>
      <c r="F851" t="s">
        <v>3495</v>
      </c>
      <c r="G851">
        <v>4.7</v>
      </c>
      <c r="H851">
        <v>5.35</v>
      </c>
      <c r="I851">
        <v>6</v>
      </c>
      <c r="J851" t="s">
        <v>3496</v>
      </c>
      <c r="K851">
        <v>6</v>
      </c>
      <c r="L851">
        <v>5.35</v>
      </c>
      <c r="N851">
        <v>4.7</v>
      </c>
    </row>
    <row r="852" spans="2:14">
      <c r="B852">
        <v>80</v>
      </c>
      <c r="C852">
        <v>98</v>
      </c>
      <c r="D852">
        <v>95.8</v>
      </c>
      <c r="E852">
        <v>99</v>
      </c>
      <c r="F852" t="s">
        <v>3495</v>
      </c>
      <c r="G852">
        <v>4.7</v>
      </c>
      <c r="H852">
        <v>5.35</v>
      </c>
      <c r="I852">
        <v>6</v>
      </c>
      <c r="J852" t="s">
        <v>3496</v>
      </c>
      <c r="K852">
        <v>6</v>
      </c>
      <c r="L852">
        <v>5.35</v>
      </c>
      <c r="N852">
        <v>4.7</v>
      </c>
    </row>
    <row r="853" spans="2:14">
      <c r="B853">
        <v>100</v>
      </c>
      <c r="C853">
        <v>118</v>
      </c>
      <c r="D853">
        <v>115.2</v>
      </c>
      <c r="E853">
        <v>119</v>
      </c>
      <c r="F853" t="s">
        <v>3495</v>
      </c>
      <c r="G853">
        <v>4.7</v>
      </c>
      <c r="H853">
        <v>5.35</v>
      </c>
      <c r="I853">
        <v>6</v>
      </c>
      <c r="J853" t="s">
        <v>3496</v>
      </c>
      <c r="K853">
        <v>6</v>
      </c>
      <c r="L853">
        <v>5.35</v>
      </c>
      <c r="N853">
        <v>4.7</v>
      </c>
    </row>
    <row r="854" spans="2:14">
      <c r="B854">
        <v>125</v>
      </c>
      <c r="C854">
        <v>144</v>
      </c>
      <c r="D854">
        <v>141.19999999999999</v>
      </c>
      <c r="E854">
        <v>145</v>
      </c>
      <c r="F854" t="s">
        <v>3495</v>
      </c>
      <c r="G854">
        <v>4.7</v>
      </c>
      <c r="H854">
        <v>5.35</v>
      </c>
      <c r="I854">
        <v>6</v>
      </c>
      <c r="J854" t="s">
        <v>3496</v>
      </c>
      <c r="K854">
        <v>6.2</v>
      </c>
      <c r="L854">
        <v>5.5</v>
      </c>
      <c r="N854">
        <v>4.8</v>
      </c>
    </row>
    <row r="855" spans="2:14">
      <c r="B855">
        <v>150</v>
      </c>
      <c r="C855">
        <v>170</v>
      </c>
      <c r="D855">
        <v>167.1</v>
      </c>
      <c r="E855">
        <v>171</v>
      </c>
      <c r="F855" t="s">
        <v>3495</v>
      </c>
      <c r="G855">
        <v>4.7</v>
      </c>
      <c r="H855">
        <v>5.35</v>
      </c>
      <c r="I855">
        <v>6</v>
      </c>
      <c r="J855" t="s">
        <v>3496</v>
      </c>
      <c r="K855">
        <v>6.5</v>
      </c>
      <c r="L855">
        <v>5.75</v>
      </c>
      <c r="N855">
        <v>5</v>
      </c>
    </row>
    <row r="856" spans="2:14">
      <c r="B856">
        <v>200</v>
      </c>
      <c r="C856">
        <v>222</v>
      </c>
      <c r="D856">
        <v>219</v>
      </c>
      <c r="E856">
        <v>223</v>
      </c>
      <c r="F856" t="s">
        <v>3495</v>
      </c>
      <c r="G856">
        <v>4.8</v>
      </c>
      <c r="H856">
        <v>5.55</v>
      </c>
      <c r="I856">
        <v>6.3</v>
      </c>
      <c r="J856" t="s">
        <v>3496</v>
      </c>
      <c r="K856">
        <v>7</v>
      </c>
      <c r="L856">
        <v>6.25</v>
      </c>
      <c r="N856">
        <v>5.5</v>
      </c>
    </row>
    <row r="857" spans="2:14">
      <c r="B857">
        <v>250</v>
      </c>
      <c r="C857">
        <v>274</v>
      </c>
      <c r="D857">
        <v>270.89999999999998</v>
      </c>
      <c r="E857">
        <v>275</v>
      </c>
      <c r="F857" t="s">
        <v>3495</v>
      </c>
      <c r="G857">
        <v>5.2</v>
      </c>
      <c r="H857">
        <v>6</v>
      </c>
      <c r="I857">
        <v>6.8</v>
      </c>
      <c r="J857" t="s">
        <v>3496</v>
      </c>
      <c r="K857">
        <v>7.5</v>
      </c>
      <c r="L857">
        <v>6.7</v>
      </c>
      <c r="N857">
        <v>5.9</v>
      </c>
    </row>
    <row r="858" spans="2:14">
      <c r="B858">
        <v>300</v>
      </c>
      <c r="C858">
        <v>326</v>
      </c>
      <c r="D858">
        <v>322.7</v>
      </c>
      <c r="E858">
        <v>327</v>
      </c>
      <c r="F858" t="s">
        <v>3495</v>
      </c>
      <c r="G858">
        <v>5.6</v>
      </c>
      <c r="H858">
        <v>6.4</v>
      </c>
      <c r="I858">
        <v>7.2</v>
      </c>
      <c r="J858" t="s">
        <v>3496</v>
      </c>
      <c r="K858">
        <v>8</v>
      </c>
      <c r="L858">
        <v>7.2</v>
      </c>
      <c r="N858">
        <v>6.4</v>
      </c>
    </row>
    <row r="859" spans="2:14">
      <c r="B859">
        <v>350</v>
      </c>
      <c r="C859">
        <v>378</v>
      </c>
      <c r="D859">
        <v>374.6</v>
      </c>
      <c r="E859">
        <v>379</v>
      </c>
      <c r="F859" t="s">
        <v>3495</v>
      </c>
      <c r="G859">
        <v>6</v>
      </c>
      <c r="H859">
        <v>6.85</v>
      </c>
      <c r="I859">
        <v>7.7</v>
      </c>
      <c r="J859" t="s">
        <v>3496</v>
      </c>
      <c r="K859">
        <v>8.5</v>
      </c>
      <c r="L859">
        <v>7.65</v>
      </c>
      <c r="N859">
        <v>6.8</v>
      </c>
    </row>
    <row r="860" spans="2:14">
      <c r="B860">
        <v>400</v>
      </c>
      <c r="C860">
        <v>429</v>
      </c>
      <c r="D860">
        <v>425.5</v>
      </c>
      <c r="E860">
        <v>430</v>
      </c>
      <c r="F860" t="s">
        <v>3495</v>
      </c>
      <c r="G860">
        <v>6.4</v>
      </c>
      <c r="H860">
        <v>7.25</v>
      </c>
      <c r="I860">
        <v>8.1</v>
      </c>
      <c r="J860" t="s">
        <v>3496</v>
      </c>
      <c r="K860">
        <v>9</v>
      </c>
      <c r="L860">
        <v>8.15</v>
      </c>
      <c r="N860">
        <v>7.3</v>
      </c>
    </row>
    <row r="861" spans="2:14">
      <c r="B861">
        <v>450</v>
      </c>
      <c r="C861">
        <v>480</v>
      </c>
      <c r="D861">
        <v>476.4</v>
      </c>
      <c r="E861">
        <v>481</v>
      </c>
      <c r="F861" t="s">
        <v>3495</v>
      </c>
      <c r="G861">
        <v>6.8</v>
      </c>
      <c r="H861">
        <v>7.7</v>
      </c>
      <c r="I861">
        <v>8.6</v>
      </c>
      <c r="J861" t="s">
        <v>3496</v>
      </c>
      <c r="K861">
        <v>9.5</v>
      </c>
      <c r="L861">
        <v>8.6</v>
      </c>
      <c r="N861">
        <v>7.7</v>
      </c>
    </row>
    <row r="862" spans="2:14">
      <c r="B862">
        <v>500</v>
      </c>
      <c r="C862">
        <v>532</v>
      </c>
      <c r="D862">
        <v>528.20000000000005</v>
      </c>
      <c r="E862">
        <v>533</v>
      </c>
      <c r="F862" t="s">
        <v>3495</v>
      </c>
      <c r="G862">
        <v>7.2</v>
      </c>
      <c r="H862">
        <v>8.1</v>
      </c>
      <c r="I862">
        <v>9</v>
      </c>
      <c r="J862" t="s">
        <v>3496</v>
      </c>
      <c r="K862">
        <v>10</v>
      </c>
      <c r="L862">
        <v>9.1</v>
      </c>
      <c r="N862">
        <v>8.1999999999999993</v>
      </c>
    </row>
    <row r="863" spans="2:14">
      <c r="B863">
        <v>600</v>
      </c>
      <c r="C863">
        <v>635</v>
      </c>
      <c r="D863">
        <v>631</v>
      </c>
      <c r="E863">
        <v>636</v>
      </c>
      <c r="F863" t="s">
        <v>3495</v>
      </c>
      <c r="G863">
        <v>8</v>
      </c>
      <c r="H863">
        <v>8.9499999999999993</v>
      </c>
      <c r="I863">
        <v>9.9</v>
      </c>
      <c r="J863" t="s">
        <v>3496</v>
      </c>
      <c r="K863">
        <v>11</v>
      </c>
      <c r="L863">
        <v>10.050000000000001</v>
      </c>
      <c r="N863">
        <v>9.1</v>
      </c>
    </row>
    <row r="864" spans="2:14">
      <c r="B864">
        <v>700</v>
      </c>
      <c r="C864">
        <v>738</v>
      </c>
      <c r="D864">
        <v>733.7</v>
      </c>
      <c r="E864">
        <v>739</v>
      </c>
      <c r="F864" t="s">
        <v>3495</v>
      </c>
      <c r="G864">
        <v>8.8000000000000007</v>
      </c>
      <c r="H864">
        <v>9.8000000000000007</v>
      </c>
      <c r="I864">
        <v>10.8</v>
      </c>
      <c r="J864" t="s">
        <v>3496</v>
      </c>
      <c r="K864">
        <v>12</v>
      </c>
      <c r="L864">
        <v>11</v>
      </c>
      <c r="N864">
        <v>10</v>
      </c>
    </row>
    <row r="865" spans="2:14">
      <c r="B865">
        <v>800</v>
      </c>
      <c r="C865">
        <v>842</v>
      </c>
      <c r="D865">
        <v>837.5</v>
      </c>
      <c r="E865">
        <v>843</v>
      </c>
      <c r="F865" t="s">
        <v>3495</v>
      </c>
      <c r="G865">
        <v>9.6</v>
      </c>
      <c r="H865">
        <v>10.65</v>
      </c>
      <c r="I865">
        <v>11.7</v>
      </c>
      <c r="J865" t="s">
        <v>3496</v>
      </c>
      <c r="K865">
        <v>13</v>
      </c>
      <c r="L865">
        <v>11.95</v>
      </c>
      <c r="N865">
        <v>10.9</v>
      </c>
    </row>
    <row r="866" spans="2:14">
      <c r="B866">
        <v>900</v>
      </c>
      <c r="C866">
        <v>945</v>
      </c>
      <c r="D866">
        <v>940.2</v>
      </c>
      <c r="E866">
        <v>946</v>
      </c>
      <c r="F866" t="s">
        <v>3495</v>
      </c>
      <c r="G866">
        <v>10.4</v>
      </c>
      <c r="H866">
        <v>11.5</v>
      </c>
      <c r="I866">
        <v>12.6</v>
      </c>
      <c r="J866" t="s">
        <v>3496</v>
      </c>
      <c r="K866">
        <v>14</v>
      </c>
      <c r="L866">
        <v>12.9</v>
      </c>
      <c r="N866">
        <v>11.8</v>
      </c>
    </row>
    <row r="867" spans="2:14">
      <c r="B867">
        <v>1000</v>
      </c>
      <c r="C867">
        <v>1048</v>
      </c>
      <c r="D867">
        <v>1043</v>
      </c>
      <c r="E867">
        <v>1049</v>
      </c>
      <c r="F867" t="s">
        <v>3495</v>
      </c>
      <c r="G867">
        <v>11.2</v>
      </c>
      <c r="H867">
        <v>12.35</v>
      </c>
      <c r="I867">
        <v>13.5</v>
      </c>
      <c r="J867" t="s">
        <v>3496</v>
      </c>
      <c r="K867">
        <v>15</v>
      </c>
      <c r="L867">
        <v>13.85</v>
      </c>
      <c r="N867">
        <v>12.7</v>
      </c>
    </row>
    <row r="868" spans="2:14">
      <c r="B868">
        <v>1100</v>
      </c>
      <c r="C868">
        <v>1152</v>
      </c>
      <c r="D868">
        <v>1146</v>
      </c>
      <c r="E868">
        <v>1153</v>
      </c>
      <c r="F868" t="s">
        <v>3495</v>
      </c>
      <c r="G868">
        <v>12</v>
      </c>
      <c r="H868">
        <v>13.2</v>
      </c>
      <c r="I868">
        <v>14.4</v>
      </c>
      <c r="J868" t="s">
        <v>3496</v>
      </c>
      <c r="K868">
        <v>16</v>
      </c>
      <c r="L868">
        <v>14.8</v>
      </c>
      <c r="N868">
        <v>13.6</v>
      </c>
    </row>
    <row r="869" spans="2:14">
      <c r="B869">
        <v>1200</v>
      </c>
      <c r="C869">
        <v>1255</v>
      </c>
      <c r="D869">
        <v>1249.2</v>
      </c>
      <c r="E869">
        <v>1256</v>
      </c>
      <c r="F869" t="s">
        <v>3495</v>
      </c>
      <c r="G869">
        <v>12.8</v>
      </c>
      <c r="H869">
        <v>14.05</v>
      </c>
      <c r="I869">
        <v>15.3</v>
      </c>
      <c r="J869" t="s">
        <v>3496</v>
      </c>
      <c r="K869">
        <v>17</v>
      </c>
      <c r="L869">
        <v>15.75</v>
      </c>
      <c r="N869">
        <v>14.5</v>
      </c>
    </row>
    <row r="870" spans="2:14">
      <c r="B870">
        <v>1400</v>
      </c>
      <c r="C870">
        <v>1462</v>
      </c>
      <c r="D870">
        <v>1455.4</v>
      </c>
      <c r="E870">
        <v>1463</v>
      </c>
      <c r="F870" t="s">
        <v>3495</v>
      </c>
      <c r="G870">
        <v>14.4</v>
      </c>
      <c r="H870">
        <v>15.75</v>
      </c>
      <c r="I870">
        <v>17.100000000000001</v>
      </c>
      <c r="J870" t="s">
        <v>3496</v>
      </c>
      <c r="K870">
        <v>19</v>
      </c>
      <c r="L870">
        <v>17.649999999999999</v>
      </c>
      <c r="N870">
        <v>16.3</v>
      </c>
    </row>
    <row r="871" spans="2:14">
      <c r="B871">
        <v>1500</v>
      </c>
      <c r="C871">
        <v>1565</v>
      </c>
      <c r="D871">
        <v>1558</v>
      </c>
      <c r="E871">
        <v>1566</v>
      </c>
      <c r="F871" t="s">
        <v>3495</v>
      </c>
      <c r="G871">
        <v>15.2</v>
      </c>
      <c r="H871">
        <v>16.600000000000001</v>
      </c>
      <c r="I871">
        <v>18</v>
      </c>
      <c r="J871" t="s">
        <v>3496</v>
      </c>
      <c r="K871">
        <v>20</v>
      </c>
      <c r="L871">
        <v>18.600000000000001</v>
      </c>
      <c r="N871">
        <v>17.2</v>
      </c>
    </row>
    <row r="872" spans="2:14">
      <c r="B872">
        <v>1600</v>
      </c>
      <c r="C872">
        <v>1668</v>
      </c>
      <c r="D872">
        <v>1660.6</v>
      </c>
      <c r="E872">
        <v>1669</v>
      </c>
      <c r="F872" t="s">
        <v>3495</v>
      </c>
      <c r="G872">
        <v>16</v>
      </c>
      <c r="H872">
        <v>17.45</v>
      </c>
      <c r="I872">
        <v>18.899999999999999</v>
      </c>
      <c r="J872" t="s">
        <v>3496</v>
      </c>
      <c r="K872">
        <v>21</v>
      </c>
      <c r="L872">
        <v>19.55</v>
      </c>
      <c r="N872">
        <v>18.100000000000001</v>
      </c>
    </row>
    <row r="873" spans="2:14">
      <c r="B873">
        <v>1800</v>
      </c>
      <c r="C873">
        <v>1875</v>
      </c>
      <c r="D873">
        <v>1866.8</v>
      </c>
      <c r="E873">
        <v>1876</v>
      </c>
      <c r="F873" t="s">
        <v>3495</v>
      </c>
      <c r="G873">
        <v>17.600000000000001</v>
      </c>
      <c r="H873">
        <v>19.149999999999999</v>
      </c>
      <c r="I873">
        <v>20.7</v>
      </c>
      <c r="J873" t="s">
        <v>3496</v>
      </c>
      <c r="K873">
        <v>23</v>
      </c>
      <c r="L873">
        <v>21.45</v>
      </c>
      <c r="N873">
        <v>19.899999999999999</v>
      </c>
    </row>
    <row r="874" spans="2:14">
      <c r="B874">
        <v>2000</v>
      </c>
      <c r="C874">
        <v>2082</v>
      </c>
      <c r="D874">
        <v>2073</v>
      </c>
      <c r="E874">
        <v>2083</v>
      </c>
      <c r="F874" t="s">
        <v>3495</v>
      </c>
      <c r="G874">
        <v>19.2</v>
      </c>
      <c r="H874">
        <v>20.85</v>
      </c>
      <c r="I874">
        <v>22.5</v>
      </c>
      <c r="J874" t="s">
        <v>3496</v>
      </c>
      <c r="K874">
        <v>25</v>
      </c>
      <c r="L874">
        <v>23.35</v>
      </c>
      <c r="N874">
        <v>21.7</v>
      </c>
    </row>
    <row r="880" spans="2:14">
      <c r="B880" t="s">
        <v>3497</v>
      </c>
      <c r="C880" t="s">
        <v>3498</v>
      </c>
      <c r="D880">
        <v>80</v>
      </c>
      <c r="E880" t="s">
        <v>3474</v>
      </c>
      <c r="F880" t="s">
        <v>3484</v>
      </c>
      <c r="H880">
        <v>1980</v>
      </c>
      <c r="I880">
        <v>1988</v>
      </c>
      <c r="J880">
        <v>98</v>
      </c>
      <c r="K880">
        <v>87.38</v>
      </c>
      <c r="L880">
        <v>5.31</v>
      </c>
      <c r="N880" t="s">
        <v>3499</v>
      </c>
    </row>
    <row r="881" spans="2:14">
      <c r="B881" t="s">
        <v>3497</v>
      </c>
      <c r="C881" t="s">
        <v>3498</v>
      </c>
      <c r="D881">
        <v>100</v>
      </c>
      <c r="E881" t="s">
        <v>3474</v>
      </c>
      <c r="F881" t="s">
        <v>3484</v>
      </c>
      <c r="H881">
        <v>1980</v>
      </c>
      <c r="I881">
        <v>1988</v>
      </c>
      <c r="J881">
        <v>118</v>
      </c>
      <c r="K881">
        <v>107.2</v>
      </c>
      <c r="L881">
        <v>5.4</v>
      </c>
      <c r="N881" t="s">
        <v>3499</v>
      </c>
    </row>
    <row r="882" spans="2:14">
      <c r="B882" t="s">
        <v>3497</v>
      </c>
      <c r="C882" t="s">
        <v>3498</v>
      </c>
      <c r="D882">
        <v>150</v>
      </c>
      <c r="E882" t="s">
        <v>3474</v>
      </c>
      <c r="F882" t="s">
        <v>3484</v>
      </c>
      <c r="H882">
        <v>1980</v>
      </c>
      <c r="I882">
        <v>1988</v>
      </c>
      <c r="J882">
        <v>170</v>
      </c>
      <c r="K882">
        <v>158.85</v>
      </c>
      <c r="L882">
        <v>5.5750000000000002</v>
      </c>
      <c r="N882" t="s">
        <v>3499</v>
      </c>
    </row>
    <row r="883" spans="2:14">
      <c r="B883" t="s">
        <v>3497</v>
      </c>
      <c r="C883" t="s">
        <v>3498</v>
      </c>
      <c r="D883">
        <v>200</v>
      </c>
      <c r="E883" t="s">
        <v>3474</v>
      </c>
      <c r="F883" t="s">
        <v>3484</v>
      </c>
      <c r="H883">
        <v>1980</v>
      </c>
      <c r="I883">
        <v>1988</v>
      </c>
      <c r="J883">
        <v>222</v>
      </c>
      <c r="K883">
        <v>210.7</v>
      </c>
      <c r="L883">
        <v>5.65</v>
      </c>
      <c r="N883" t="s">
        <v>3499</v>
      </c>
    </row>
    <row r="884" spans="2:14">
      <c r="B884" t="s">
        <v>3497</v>
      </c>
      <c r="C884" t="s">
        <v>3498</v>
      </c>
      <c r="D884">
        <v>250</v>
      </c>
      <c r="E884" t="s">
        <v>3474</v>
      </c>
      <c r="F884" t="s">
        <v>3484</v>
      </c>
      <c r="H884">
        <v>1980</v>
      </c>
      <c r="I884">
        <v>1988</v>
      </c>
      <c r="J884">
        <v>274</v>
      </c>
      <c r="K884">
        <v>261.95</v>
      </c>
      <c r="L884">
        <v>6.0250000000000004</v>
      </c>
      <c r="N884" t="s">
        <v>3499</v>
      </c>
    </row>
    <row r="885" spans="2:14">
      <c r="B885" t="s">
        <v>3497</v>
      </c>
      <c r="C885" t="s">
        <v>3498</v>
      </c>
      <c r="D885">
        <v>300</v>
      </c>
      <c r="E885" t="s">
        <v>3474</v>
      </c>
      <c r="F885" t="s">
        <v>3484</v>
      </c>
      <c r="H885">
        <v>1980</v>
      </c>
      <c r="I885">
        <v>1988</v>
      </c>
      <c r="J885">
        <v>326</v>
      </c>
      <c r="K885">
        <v>313.2</v>
      </c>
      <c r="L885">
        <v>6.4</v>
      </c>
      <c r="N885" t="s">
        <v>3499</v>
      </c>
    </row>
    <row r="886" spans="2:14">
      <c r="B886" t="s">
        <v>3497</v>
      </c>
      <c r="C886" t="s">
        <v>3498</v>
      </c>
      <c r="D886">
        <v>350</v>
      </c>
      <c r="E886" t="s">
        <v>3474</v>
      </c>
      <c r="F886" t="s">
        <v>3484</v>
      </c>
      <c r="H886">
        <v>1980</v>
      </c>
      <c r="I886">
        <v>1988</v>
      </c>
      <c r="J886">
        <v>378</v>
      </c>
      <c r="K886">
        <v>364.25</v>
      </c>
      <c r="L886">
        <v>6.875</v>
      </c>
      <c r="N886" t="s">
        <v>3499</v>
      </c>
    </row>
    <row r="887" spans="2:14">
      <c r="B887" t="s">
        <v>3497</v>
      </c>
      <c r="C887" t="s">
        <v>3498</v>
      </c>
      <c r="D887">
        <v>400</v>
      </c>
      <c r="E887" t="s">
        <v>3474</v>
      </c>
      <c r="F887" t="s">
        <v>3484</v>
      </c>
      <c r="H887">
        <v>1980</v>
      </c>
      <c r="I887">
        <v>1988</v>
      </c>
      <c r="J887">
        <v>429</v>
      </c>
      <c r="K887">
        <v>414.5</v>
      </c>
      <c r="L887">
        <v>7.25</v>
      </c>
      <c r="N887" t="s">
        <v>3499</v>
      </c>
    </row>
    <row r="888" spans="2:14">
      <c r="B888" t="s">
        <v>3497</v>
      </c>
      <c r="C888" t="s">
        <v>3498</v>
      </c>
      <c r="D888">
        <v>450</v>
      </c>
      <c r="E888" t="s">
        <v>3474</v>
      </c>
      <c r="F888" t="s">
        <v>3484</v>
      </c>
      <c r="H888">
        <v>1980</v>
      </c>
      <c r="I888">
        <v>1988</v>
      </c>
      <c r="J888">
        <v>480</v>
      </c>
      <c r="K888">
        <v>464.55</v>
      </c>
      <c r="L888">
        <v>7.7249999999999996</v>
      </c>
      <c r="N888" t="s">
        <v>3499</v>
      </c>
    </row>
    <row r="889" spans="2:14">
      <c r="B889" t="s">
        <v>3497</v>
      </c>
      <c r="C889" t="s">
        <v>3498</v>
      </c>
      <c r="D889">
        <v>500</v>
      </c>
      <c r="E889" t="s">
        <v>3474</v>
      </c>
      <c r="F889" t="s">
        <v>3484</v>
      </c>
      <c r="H889">
        <v>1980</v>
      </c>
      <c r="I889">
        <v>1988</v>
      </c>
      <c r="J889">
        <v>532</v>
      </c>
      <c r="K889">
        <v>515.79999999999995</v>
      </c>
      <c r="L889">
        <v>8.1</v>
      </c>
      <c r="N889" t="s">
        <v>3499</v>
      </c>
    </row>
    <row r="890" spans="2:14">
      <c r="B890" t="s">
        <v>3497</v>
      </c>
      <c r="C890" t="s">
        <v>3498</v>
      </c>
      <c r="D890">
        <v>600</v>
      </c>
      <c r="E890" t="s">
        <v>3474</v>
      </c>
      <c r="F890" t="s">
        <v>3484</v>
      </c>
      <c r="H890">
        <v>1980</v>
      </c>
      <c r="I890">
        <v>1988</v>
      </c>
      <c r="J890">
        <v>635</v>
      </c>
      <c r="K890">
        <v>617.1</v>
      </c>
      <c r="L890">
        <v>8.9499999999999993</v>
      </c>
      <c r="N890" t="s">
        <v>3499</v>
      </c>
    </row>
    <row r="891" spans="2:14">
      <c r="B891" t="s">
        <v>3497</v>
      </c>
      <c r="C891" t="s">
        <v>3498</v>
      </c>
      <c r="D891">
        <v>700</v>
      </c>
      <c r="E891" t="s">
        <v>3474</v>
      </c>
      <c r="F891" t="s">
        <v>3484</v>
      </c>
      <c r="H891">
        <v>1980</v>
      </c>
      <c r="I891">
        <v>1988</v>
      </c>
      <c r="J891">
        <v>738</v>
      </c>
      <c r="K891">
        <v>718.4</v>
      </c>
      <c r="L891">
        <v>9.8000000000000007</v>
      </c>
      <c r="N891" t="s">
        <v>3499</v>
      </c>
    </row>
    <row r="892" spans="2:14">
      <c r="B892" t="s">
        <v>3497</v>
      </c>
      <c r="C892" t="s">
        <v>3498</v>
      </c>
      <c r="D892">
        <v>800</v>
      </c>
      <c r="E892" t="s">
        <v>3474</v>
      </c>
      <c r="F892" t="s">
        <v>3484</v>
      </c>
      <c r="H892">
        <v>1980</v>
      </c>
      <c r="I892">
        <v>1988</v>
      </c>
      <c r="J892">
        <v>842</v>
      </c>
      <c r="K892">
        <v>820.7</v>
      </c>
      <c r="L892">
        <v>10.65</v>
      </c>
      <c r="N892" t="s">
        <v>3499</v>
      </c>
    </row>
    <row r="893" spans="2:14">
      <c r="B893" t="s">
        <v>3497</v>
      </c>
      <c r="C893" t="s">
        <v>3498</v>
      </c>
      <c r="D893">
        <v>900</v>
      </c>
      <c r="E893" t="s">
        <v>3474</v>
      </c>
      <c r="F893" t="s">
        <v>3484</v>
      </c>
      <c r="H893">
        <v>1980</v>
      </c>
      <c r="I893">
        <v>1988</v>
      </c>
      <c r="J893">
        <v>945</v>
      </c>
      <c r="K893">
        <v>922</v>
      </c>
      <c r="L893">
        <v>11.5</v>
      </c>
      <c r="N893" t="s">
        <v>3499</v>
      </c>
    </row>
    <row r="894" spans="2:14">
      <c r="B894" t="s">
        <v>3497</v>
      </c>
      <c r="C894" t="s">
        <v>3498</v>
      </c>
      <c r="D894">
        <v>1000</v>
      </c>
      <c r="E894" t="s">
        <v>3474</v>
      </c>
      <c r="F894" t="s">
        <v>3484</v>
      </c>
      <c r="H894">
        <v>1980</v>
      </c>
      <c r="I894">
        <v>1988</v>
      </c>
      <c r="J894">
        <v>1048</v>
      </c>
      <c r="K894">
        <v>1023.3</v>
      </c>
      <c r="L894">
        <v>12.35</v>
      </c>
      <c r="N894" t="s">
        <v>3499</v>
      </c>
    </row>
    <row r="895" spans="2:14">
      <c r="B895" t="s">
        <v>3497</v>
      </c>
      <c r="C895" t="s">
        <v>3498</v>
      </c>
      <c r="D895">
        <v>1100</v>
      </c>
      <c r="E895" t="s">
        <v>3474</v>
      </c>
      <c r="F895" t="s">
        <v>3484</v>
      </c>
      <c r="H895">
        <v>1980</v>
      </c>
      <c r="I895">
        <v>1988</v>
      </c>
      <c r="J895">
        <v>1152</v>
      </c>
      <c r="K895">
        <v>1125.5999999999999</v>
      </c>
      <c r="L895">
        <v>13.2</v>
      </c>
      <c r="N895" t="s">
        <v>3499</v>
      </c>
    </row>
    <row r="896" spans="2:14">
      <c r="B896" t="s">
        <v>3497</v>
      </c>
      <c r="C896" t="s">
        <v>3498</v>
      </c>
      <c r="D896">
        <v>1200</v>
      </c>
      <c r="E896" t="s">
        <v>3474</v>
      </c>
      <c r="F896" t="s">
        <v>3484</v>
      </c>
      <c r="H896">
        <v>1980</v>
      </c>
      <c r="I896">
        <v>1988</v>
      </c>
      <c r="J896">
        <v>1255</v>
      </c>
      <c r="K896">
        <v>1226.9000000000001</v>
      </c>
      <c r="L896">
        <v>14.05</v>
      </c>
      <c r="N896" t="s">
        <v>3499</v>
      </c>
    </row>
    <row r="897" spans="2:14">
      <c r="B897" t="s">
        <v>3497</v>
      </c>
      <c r="C897" t="s">
        <v>3498</v>
      </c>
      <c r="D897">
        <v>1400</v>
      </c>
      <c r="E897" t="s">
        <v>3474</v>
      </c>
      <c r="F897" t="s">
        <v>3484</v>
      </c>
      <c r="H897">
        <v>1980</v>
      </c>
      <c r="I897">
        <v>1988</v>
      </c>
      <c r="J897">
        <v>1462</v>
      </c>
      <c r="K897">
        <v>1430.5</v>
      </c>
      <c r="L897">
        <v>15.75</v>
      </c>
      <c r="N897" t="s">
        <v>3499</v>
      </c>
    </row>
    <row r="898" spans="2:14">
      <c r="B898" t="s">
        <v>3497</v>
      </c>
      <c r="C898" t="s">
        <v>3498</v>
      </c>
      <c r="D898">
        <v>1600</v>
      </c>
      <c r="E898" t="s">
        <v>3474</v>
      </c>
      <c r="F898" t="s">
        <v>3484</v>
      </c>
      <c r="H898">
        <v>1980</v>
      </c>
      <c r="I898">
        <v>1988</v>
      </c>
      <c r="J898">
        <v>1668</v>
      </c>
      <c r="K898">
        <v>1633.1</v>
      </c>
      <c r="L898">
        <v>17.45</v>
      </c>
      <c r="N898" t="s">
        <v>3499</v>
      </c>
    </row>
    <row r="899" spans="2:14">
      <c r="B899" t="s">
        <v>3497</v>
      </c>
      <c r="C899" t="s">
        <v>3498</v>
      </c>
      <c r="D899">
        <v>300</v>
      </c>
      <c r="E899" t="s">
        <v>3474</v>
      </c>
      <c r="F899" t="s">
        <v>3485</v>
      </c>
      <c r="H899">
        <v>1980</v>
      </c>
      <c r="I899">
        <v>1988</v>
      </c>
      <c r="J899">
        <v>300</v>
      </c>
      <c r="K899">
        <v>287.2</v>
      </c>
      <c r="L899">
        <v>6.4</v>
      </c>
      <c r="N899" t="s">
        <v>3499</v>
      </c>
    </row>
    <row r="900" spans="2:14">
      <c r="B900" t="s">
        <v>3497</v>
      </c>
      <c r="C900" t="s">
        <v>3498</v>
      </c>
      <c r="D900">
        <v>350</v>
      </c>
      <c r="E900" t="s">
        <v>3474</v>
      </c>
      <c r="F900" t="s">
        <v>3485</v>
      </c>
      <c r="H900">
        <v>1980</v>
      </c>
      <c r="I900">
        <v>1988</v>
      </c>
      <c r="J900">
        <v>350</v>
      </c>
      <c r="K900">
        <v>336.25</v>
      </c>
      <c r="L900">
        <v>6.875</v>
      </c>
      <c r="N900" t="s">
        <v>3499</v>
      </c>
    </row>
    <row r="901" spans="2:14">
      <c r="B901" t="s">
        <v>3497</v>
      </c>
      <c r="C901" t="s">
        <v>3498</v>
      </c>
      <c r="D901">
        <v>400</v>
      </c>
      <c r="E901" t="s">
        <v>3474</v>
      </c>
      <c r="F901" t="s">
        <v>3485</v>
      </c>
      <c r="H901">
        <v>1980</v>
      </c>
      <c r="I901">
        <v>1988</v>
      </c>
      <c r="J901">
        <v>400</v>
      </c>
      <c r="K901">
        <v>385.5</v>
      </c>
      <c r="L901">
        <v>7.25</v>
      </c>
      <c r="N901" t="s">
        <v>3499</v>
      </c>
    </row>
    <row r="902" spans="2:14">
      <c r="B902" t="s">
        <v>3497</v>
      </c>
      <c r="C902" t="s">
        <v>3498</v>
      </c>
      <c r="D902">
        <v>450</v>
      </c>
      <c r="E902" t="s">
        <v>3474</v>
      </c>
      <c r="F902" t="s">
        <v>3485</v>
      </c>
      <c r="H902">
        <v>1980</v>
      </c>
      <c r="I902">
        <v>1988</v>
      </c>
      <c r="J902">
        <v>450</v>
      </c>
      <c r="K902">
        <v>434.55</v>
      </c>
      <c r="L902">
        <v>7.7249999999999996</v>
      </c>
      <c r="N902" t="s">
        <v>3499</v>
      </c>
    </row>
    <row r="903" spans="2:14">
      <c r="B903" t="s">
        <v>3497</v>
      </c>
      <c r="C903" t="s">
        <v>3498</v>
      </c>
      <c r="D903">
        <v>500</v>
      </c>
      <c r="E903" t="s">
        <v>3474</v>
      </c>
      <c r="F903" t="s">
        <v>3485</v>
      </c>
      <c r="H903">
        <v>1980</v>
      </c>
      <c r="I903">
        <v>1988</v>
      </c>
      <c r="J903">
        <v>500</v>
      </c>
      <c r="K903">
        <v>483.8</v>
      </c>
      <c r="L903">
        <v>8.1</v>
      </c>
      <c r="N903" t="s">
        <v>3499</v>
      </c>
    </row>
    <row r="904" spans="2:14">
      <c r="B904" t="s">
        <v>3497</v>
      </c>
      <c r="C904" t="s">
        <v>3498</v>
      </c>
      <c r="D904">
        <v>600</v>
      </c>
      <c r="E904" t="s">
        <v>3474</v>
      </c>
      <c r="F904" t="s">
        <v>3485</v>
      </c>
      <c r="H904">
        <v>1980</v>
      </c>
      <c r="I904">
        <v>1988</v>
      </c>
      <c r="J904">
        <v>600</v>
      </c>
      <c r="K904">
        <v>582.1</v>
      </c>
      <c r="L904">
        <v>8.9499999999999993</v>
      </c>
      <c r="N904" t="s">
        <v>3499</v>
      </c>
    </row>
    <row r="905" spans="2:14">
      <c r="B905" t="s">
        <v>3497</v>
      </c>
      <c r="C905" t="s">
        <v>3498</v>
      </c>
      <c r="D905">
        <v>700</v>
      </c>
      <c r="E905" t="s">
        <v>3474</v>
      </c>
      <c r="F905" t="s">
        <v>3485</v>
      </c>
      <c r="H905">
        <v>1980</v>
      </c>
      <c r="I905">
        <v>1988</v>
      </c>
      <c r="J905">
        <v>700</v>
      </c>
      <c r="K905">
        <v>680.4</v>
      </c>
      <c r="L905">
        <v>9.8000000000000007</v>
      </c>
      <c r="N905" t="s">
        <v>3499</v>
      </c>
    </row>
    <row r="906" spans="2:14">
      <c r="B906" t="s">
        <v>3497</v>
      </c>
      <c r="C906" t="s">
        <v>3498</v>
      </c>
      <c r="D906">
        <v>800</v>
      </c>
      <c r="E906" t="s">
        <v>3474</v>
      </c>
      <c r="F906" t="s">
        <v>3485</v>
      </c>
      <c r="H906">
        <v>1980</v>
      </c>
      <c r="I906">
        <v>1988</v>
      </c>
      <c r="J906">
        <v>800</v>
      </c>
      <c r="K906">
        <v>778.7</v>
      </c>
      <c r="L906">
        <v>10.65</v>
      </c>
      <c r="N906" t="s">
        <v>3499</v>
      </c>
    </row>
    <row r="907" spans="2:14">
      <c r="B907" t="s">
        <v>3497</v>
      </c>
      <c r="C907" t="s">
        <v>3498</v>
      </c>
      <c r="D907">
        <v>900</v>
      </c>
      <c r="E907" t="s">
        <v>3474</v>
      </c>
      <c r="F907" t="s">
        <v>3485</v>
      </c>
      <c r="H907">
        <v>1980</v>
      </c>
      <c r="I907">
        <v>1988</v>
      </c>
      <c r="J907">
        <v>900</v>
      </c>
      <c r="K907">
        <v>877</v>
      </c>
      <c r="L907">
        <v>11.5</v>
      </c>
      <c r="N907" t="s">
        <v>3499</v>
      </c>
    </row>
    <row r="908" spans="2:14">
      <c r="B908" t="s">
        <v>3497</v>
      </c>
      <c r="C908" t="s">
        <v>3498</v>
      </c>
      <c r="D908">
        <v>1000</v>
      </c>
      <c r="E908" t="s">
        <v>3474</v>
      </c>
      <c r="F908" t="s">
        <v>3485</v>
      </c>
      <c r="H908">
        <v>1980</v>
      </c>
      <c r="I908">
        <v>1988</v>
      </c>
      <c r="J908">
        <v>1000</v>
      </c>
      <c r="K908">
        <v>975.3</v>
      </c>
      <c r="L908">
        <v>12.35</v>
      </c>
      <c r="N908" t="s">
        <v>3499</v>
      </c>
    </row>
    <row r="909" spans="2:14">
      <c r="B909" t="s">
        <v>3497</v>
      </c>
      <c r="C909" t="s">
        <v>3498</v>
      </c>
      <c r="D909">
        <v>1100</v>
      </c>
      <c r="E909" t="s">
        <v>3474</v>
      </c>
      <c r="F909" t="s">
        <v>3485</v>
      </c>
      <c r="H909">
        <v>1980</v>
      </c>
      <c r="I909">
        <v>1988</v>
      </c>
      <c r="J909">
        <v>1100</v>
      </c>
      <c r="K909">
        <v>1073.5999999999999</v>
      </c>
      <c r="L909">
        <v>13.2</v>
      </c>
      <c r="N909" t="s">
        <v>3499</v>
      </c>
    </row>
    <row r="910" spans="2:14">
      <c r="B910" t="s">
        <v>3497</v>
      </c>
      <c r="C910" t="s">
        <v>3498</v>
      </c>
      <c r="D910">
        <v>1200</v>
      </c>
      <c r="E910" t="s">
        <v>3474</v>
      </c>
      <c r="F910" t="s">
        <v>3485</v>
      </c>
      <c r="H910">
        <v>1980</v>
      </c>
      <c r="I910">
        <v>1988</v>
      </c>
      <c r="J910">
        <v>1200</v>
      </c>
      <c r="K910">
        <v>1171.9000000000001</v>
      </c>
      <c r="L910">
        <v>14.05</v>
      </c>
      <c r="N910" t="s">
        <v>3499</v>
      </c>
    </row>
    <row r="911" spans="2:14">
      <c r="B911" t="s">
        <v>3497</v>
      </c>
      <c r="C911" t="s">
        <v>3498</v>
      </c>
      <c r="D911">
        <v>80</v>
      </c>
      <c r="E911" t="s">
        <v>3474</v>
      </c>
      <c r="F911" t="s">
        <v>3486</v>
      </c>
      <c r="H911">
        <v>1980</v>
      </c>
      <c r="I911">
        <v>1988</v>
      </c>
      <c r="J911">
        <v>98</v>
      </c>
      <c r="K911">
        <v>85.38</v>
      </c>
      <c r="L911">
        <v>6.31</v>
      </c>
      <c r="N911" t="s">
        <v>3499</v>
      </c>
    </row>
    <row r="912" spans="2:14">
      <c r="B912" t="s">
        <v>3497</v>
      </c>
      <c r="C912" t="s">
        <v>3498</v>
      </c>
      <c r="D912">
        <v>100</v>
      </c>
      <c r="E912" t="s">
        <v>3474</v>
      </c>
      <c r="F912" t="s">
        <v>3486</v>
      </c>
      <c r="H912">
        <v>1980</v>
      </c>
      <c r="I912">
        <v>1988</v>
      </c>
      <c r="J912">
        <v>118</v>
      </c>
      <c r="K912">
        <v>105</v>
      </c>
      <c r="L912">
        <v>6.5</v>
      </c>
      <c r="N912" t="s">
        <v>3499</v>
      </c>
    </row>
    <row r="913" spans="2:14">
      <c r="B913" t="s">
        <v>3497</v>
      </c>
      <c r="C913" t="s">
        <v>3498</v>
      </c>
      <c r="D913">
        <v>150</v>
      </c>
      <c r="E913" t="s">
        <v>3474</v>
      </c>
      <c r="F913" t="s">
        <v>3486</v>
      </c>
      <c r="H913">
        <v>1980</v>
      </c>
      <c r="I913">
        <v>1988</v>
      </c>
      <c r="J913">
        <v>170</v>
      </c>
      <c r="K913">
        <v>155.85</v>
      </c>
      <c r="L913">
        <v>7.0750000000000002</v>
      </c>
      <c r="N913" t="s">
        <v>3499</v>
      </c>
    </row>
    <row r="914" spans="2:14">
      <c r="B914" t="s">
        <v>3497</v>
      </c>
      <c r="C914" t="s">
        <v>3498</v>
      </c>
      <c r="D914">
        <v>200</v>
      </c>
      <c r="E914" t="s">
        <v>3474</v>
      </c>
      <c r="F914" t="s">
        <v>3486</v>
      </c>
      <c r="H914">
        <v>1980</v>
      </c>
      <c r="I914">
        <v>1988</v>
      </c>
      <c r="J914">
        <v>222</v>
      </c>
      <c r="K914">
        <v>206.7</v>
      </c>
      <c r="L914">
        <v>7.65</v>
      </c>
      <c r="N914" t="s">
        <v>3499</v>
      </c>
    </row>
    <row r="915" spans="2:14">
      <c r="B915" t="s">
        <v>3497</v>
      </c>
      <c r="C915" t="s">
        <v>3498</v>
      </c>
      <c r="D915">
        <v>250</v>
      </c>
      <c r="E915" t="s">
        <v>3474</v>
      </c>
      <c r="F915" t="s">
        <v>3486</v>
      </c>
      <c r="H915">
        <v>1980</v>
      </c>
      <c r="I915">
        <v>1988</v>
      </c>
      <c r="J915">
        <v>274</v>
      </c>
      <c r="K915">
        <v>257.55</v>
      </c>
      <c r="L915">
        <v>8.2249999999999996</v>
      </c>
      <c r="N915" t="s">
        <v>3499</v>
      </c>
    </row>
    <row r="916" spans="2:14">
      <c r="B916" t="s">
        <v>3497</v>
      </c>
      <c r="C916" t="s">
        <v>3498</v>
      </c>
      <c r="D916">
        <v>300</v>
      </c>
      <c r="E916" t="s">
        <v>3474</v>
      </c>
      <c r="F916" t="s">
        <v>3486</v>
      </c>
      <c r="H916">
        <v>1980</v>
      </c>
      <c r="I916">
        <v>1988</v>
      </c>
      <c r="J916">
        <v>326</v>
      </c>
      <c r="K916">
        <v>308.39999999999998</v>
      </c>
      <c r="L916">
        <v>8.8000000000000007</v>
      </c>
      <c r="N916" t="s">
        <v>3499</v>
      </c>
    </row>
    <row r="917" spans="2:14">
      <c r="B917" t="s">
        <v>3497</v>
      </c>
      <c r="C917" t="s">
        <v>3498</v>
      </c>
      <c r="D917">
        <v>350</v>
      </c>
      <c r="E917" t="s">
        <v>3474</v>
      </c>
      <c r="F917" t="s">
        <v>3486</v>
      </c>
      <c r="H917">
        <v>1980</v>
      </c>
      <c r="I917">
        <v>1988</v>
      </c>
      <c r="J917">
        <v>378</v>
      </c>
      <c r="K917">
        <v>359.25</v>
      </c>
      <c r="L917">
        <v>9.375</v>
      </c>
      <c r="N917" t="s">
        <v>3499</v>
      </c>
    </row>
    <row r="918" spans="2:14">
      <c r="B918" t="s">
        <v>3497</v>
      </c>
      <c r="C918" t="s">
        <v>3498</v>
      </c>
      <c r="D918">
        <v>400</v>
      </c>
      <c r="E918" t="s">
        <v>3474</v>
      </c>
      <c r="F918" t="s">
        <v>3486</v>
      </c>
      <c r="H918">
        <v>1980</v>
      </c>
      <c r="I918">
        <v>1988</v>
      </c>
      <c r="J918">
        <v>429</v>
      </c>
      <c r="K918">
        <v>409.1</v>
      </c>
      <c r="L918">
        <v>9.9499999999999993</v>
      </c>
      <c r="N918" t="s">
        <v>3499</v>
      </c>
    </row>
    <row r="919" spans="2:14">
      <c r="B919" t="s">
        <v>3497</v>
      </c>
      <c r="C919" t="s">
        <v>3498</v>
      </c>
      <c r="D919">
        <v>450</v>
      </c>
      <c r="E919" t="s">
        <v>3474</v>
      </c>
      <c r="F919" t="s">
        <v>3486</v>
      </c>
      <c r="H919">
        <v>1980</v>
      </c>
      <c r="I919">
        <v>1988</v>
      </c>
      <c r="J919">
        <v>480</v>
      </c>
      <c r="K919">
        <v>458.95</v>
      </c>
      <c r="L919">
        <v>10.525</v>
      </c>
      <c r="N919" t="s">
        <v>3499</v>
      </c>
    </row>
    <row r="920" spans="2:14">
      <c r="B920" t="s">
        <v>3497</v>
      </c>
      <c r="C920" t="s">
        <v>3498</v>
      </c>
      <c r="D920">
        <v>500</v>
      </c>
      <c r="E920" t="s">
        <v>3474</v>
      </c>
      <c r="F920" t="s">
        <v>3486</v>
      </c>
      <c r="H920">
        <v>1980</v>
      </c>
      <c r="I920">
        <v>1988</v>
      </c>
      <c r="J920">
        <v>532</v>
      </c>
      <c r="K920">
        <v>509.8</v>
      </c>
      <c r="L920">
        <v>11.1</v>
      </c>
      <c r="N920" t="s">
        <v>3499</v>
      </c>
    </row>
    <row r="921" spans="2:14">
      <c r="B921" t="s">
        <v>3497</v>
      </c>
      <c r="C921" t="s">
        <v>3498</v>
      </c>
      <c r="D921">
        <v>600</v>
      </c>
      <c r="E921" t="s">
        <v>3474</v>
      </c>
      <c r="F921" t="s">
        <v>3486</v>
      </c>
      <c r="H921">
        <v>1980</v>
      </c>
      <c r="I921">
        <v>1988</v>
      </c>
      <c r="J921">
        <v>635</v>
      </c>
      <c r="K921">
        <v>610.5</v>
      </c>
      <c r="L921">
        <v>12.25</v>
      </c>
      <c r="N921" t="s">
        <v>3499</v>
      </c>
    </row>
    <row r="922" spans="2:14">
      <c r="B922" t="s">
        <v>3497</v>
      </c>
      <c r="C922" t="s">
        <v>3498</v>
      </c>
      <c r="D922">
        <v>700</v>
      </c>
      <c r="E922" t="s">
        <v>3474</v>
      </c>
      <c r="F922" t="s">
        <v>3486</v>
      </c>
      <c r="H922">
        <v>1980</v>
      </c>
      <c r="I922">
        <v>1988</v>
      </c>
      <c r="J922">
        <v>738</v>
      </c>
      <c r="K922">
        <v>711.2</v>
      </c>
      <c r="L922">
        <v>13.4</v>
      </c>
      <c r="N922" t="s">
        <v>3499</v>
      </c>
    </row>
    <row r="923" spans="2:14">
      <c r="B923" t="s">
        <v>3497</v>
      </c>
      <c r="C923" t="s">
        <v>3498</v>
      </c>
      <c r="D923">
        <v>800</v>
      </c>
      <c r="E923" t="s">
        <v>3474</v>
      </c>
      <c r="F923" t="s">
        <v>3486</v>
      </c>
      <c r="H923">
        <v>1980</v>
      </c>
      <c r="I923">
        <v>1988</v>
      </c>
      <c r="J923">
        <v>842</v>
      </c>
      <c r="K923">
        <v>812.9</v>
      </c>
      <c r="L923">
        <v>14.55</v>
      </c>
      <c r="N923" t="s">
        <v>3499</v>
      </c>
    </row>
    <row r="924" spans="2:14">
      <c r="B924" t="s">
        <v>3497</v>
      </c>
      <c r="C924" t="s">
        <v>3498</v>
      </c>
      <c r="D924">
        <v>900</v>
      </c>
      <c r="E924" t="s">
        <v>3474</v>
      </c>
      <c r="F924" t="s">
        <v>3486</v>
      </c>
      <c r="H924">
        <v>1980</v>
      </c>
      <c r="I924">
        <v>1988</v>
      </c>
      <c r="J924">
        <v>945</v>
      </c>
      <c r="K924">
        <v>913.6</v>
      </c>
      <c r="L924">
        <v>15.7</v>
      </c>
      <c r="N924" t="s">
        <v>3499</v>
      </c>
    </row>
    <row r="925" spans="2:14">
      <c r="B925" t="s">
        <v>3497</v>
      </c>
      <c r="C925" t="s">
        <v>3498</v>
      </c>
      <c r="D925">
        <v>1000</v>
      </c>
      <c r="E925" t="s">
        <v>3474</v>
      </c>
      <c r="F925" t="s">
        <v>3486</v>
      </c>
      <c r="H925">
        <v>1980</v>
      </c>
      <c r="I925">
        <v>1988</v>
      </c>
      <c r="J925">
        <v>1048</v>
      </c>
      <c r="K925">
        <v>1014.3</v>
      </c>
      <c r="L925">
        <v>16.850000000000001</v>
      </c>
      <c r="N925" t="s">
        <v>3499</v>
      </c>
    </row>
    <row r="926" spans="2:14">
      <c r="B926" t="s">
        <v>3497</v>
      </c>
      <c r="C926" t="s">
        <v>3498</v>
      </c>
      <c r="D926">
        <v>1100</v>
      </c>
      <c r="E926" t="s">
        <v>3474</v>
      </c>
      <c r="F926" t="s">
        <v>3486</v>
      </c>
      <c r="H926">
        <v>1980</v>
      </c>
      <c r="I926">
        <v>1988</v>
      </c>
      <c r="J926">
        <v>1152</v>
      </c>
      <c r="K926">
        <v>1116</v>
      </c>
      <c r="L926">
        <v>18</v>
      </c>
      <c r="N926" t="s">
        <v>3499</v>
      </c>
    </row>
    <row r="927" spans="2:14">
      <c r="B927" t="s">
        <v>3497</v>
      </c>
      <c r="C927" t="s">
        <v>3498</v>
      </c>
      <c r="D927">
        <v>1200</v>
      </c>
      <c r="E927" t="s">
        <v>3474</v>
      </c>
      <c r="F927" t="s">
        <v>3486</v>
      </c>
      <c r="H927">
        <v>1980</v>
      </c>
      <c r="I927">
        <v>1988</v>
      </c>
      <c r="J927">
        <v>1255</v>
      </c>
      <c r="K927">
        <v>1216.7</v>
      </c>
      <c r="L927">
        <v>19.149999999999999</v>
      </c>
      <c r="N927" t="s">
        <v>3499</v>
      </c>
    </row>
    <row r="928" spans="2:14">
      <c r="B928" t="s">
        <v>3497</v>
      </c>
      <c r="C928" t="s">
        <v>3498</v>
      </c>
      <c r="D928">
        <v>1400</v>
      </c>
      <c r="E928" t="s">
        <v>3474</v>
      </c>
      <c r="F928" t="s">
        <v>3486</v>
      </c>
      <c r="H928">
        <v>1980</v>
      </c>
      <c r="I928">
        <v>1988</v>
      </c>
      <c r="J928">
        <v>1462</v>
      </c>
      <c r="K928">
        <v>1419.1</v>
      </c>
      <c r="L928">
        <v>21.45</v>
      </c>
      <c r="N928" t="s">
        <v>3499</v>
      </c>
    </row>
    <row r="929" spans="2:14">
      <c r="B929" t="s">
        <v>3497</v>
      </c>
      <c r="C929" t="s">
        <v>3498</v>
      </c>
      <c r="D929">
        <v>1600</v>
      </c>
      <c r="E929" t="s">
        <v>3474</v>
      </c>
      <c r="F929" t="s">
        <v>3486</v>
      </c>
      <c r="H929">
        <v>1980</v>
      </c>
      <c r="I929">
        <v>1988</v>
      </c>
      <c r="J929">
        <v>1668</v>
      </c>
      <c r="K929">
        <v>1620.5</v>
      </c>
      <c r="L929">
        <v>23.75</v>
      </c>
      <c r="N929" t="s">
        <v>3499</v>
      </c>
    </row>
    <row r="930" spans="2:14">
      <c r="B930" t="s">
        <v>3497</v>
      </c>
      <c r="C930" t="s">
        <v>3498</v>
      </c>
      <c r="D930">
        <v>80</v>
      </c>
      <c r="E930" t="s">
        <v>3474</v>
      </c>
      <c r="F930" t="s">
        <v>3487</v>
      </c>
      <c r="H930">
        <v>1980</v>
      </c>
      <c r="I930">
        <v>1988</v>
      </c>
      <c r="J930">
        <v>98</v>
      </c>
      <c r="K930">
        <v>85.38</v>
      </c>
      <c r="L930">
        <v>6.31</v>
      </c>
      <c r="N930" t="s">
        <v>3499</v>
      </c>
    </row>
    <row r="931" spans="2:14">
      <c r="B931" t="s">
        <v>3497</v>
      </c>
      <c r="C931" t="s">
        <v>3498</v>
      </c>
      <c r="D931">
        <v>100</v>
      </c>
      <c r="E931" t="s">
        <v>3474</v>
      </c>
      <c r="F931" t="s">
        <v>3487</v>
      </c>
      <c r="H931">
        <v>1980</v>
      </c>
      <c r="I931">
        <v>1988</v>
      </c>
      <c r="J931">
        <v>118</v>
      </c>
      <c r="K931">
        <v>105</v>
      </c>
      <c r="L931">
        <v>6.5</v>
      </c>
      <c r="N931" t="s">
        <v>3499</v>
      </c>
    </row>
    <row r="932" spans="2:14">
      <c r="B932" t="s">
        <v>3497</v>
      </c>
      <c r="C932" t="s">
        <v>3498</v>
      </c>
      <c r="D932">
        <v>150</v>
      </c>
      <c r="E932" t="s">
        <v>3474</v>
      </c>
      <c r="F932" t="s">
        <v>3487</v>
      </c>
      <c r="H932">
        <v>1980</v>
      </c>
      <c r="I932">
        <v>1988</v>
      </c>
      <c r="J932">
        <v>170</v>
      </c>
      <c r="K932">
        <v>155.85</v>
      </c>
      <c r="L932">
        <v>7.0750000000000002</v>
      </c>
      <c r="N932" t="s">
        <v>3499</v>
      </c>
    </row>
    <row r="933" spans="2:14">
      <c r="B933" t="s">
        <v>3497</v>
      </c>
      <c r="C933" t="s">
        <v>3498</v>
      </c>
      <c r="D933">
        <v>200</v>
      </c>
      <c r="E933" t="s">
        <v>3474</v>
      </c>
      <c r="F933" t="s">
        <v>3487</v>
      </c>
      <c r="H933">
        <v>1980</v>
      </c>
      <c r="I933">
        <v>1988</v>
      </c>
      <c r="J933">
        <v>222</v>
      </c>
      <c r="K933">
        <v>206.7</v>
      </c>
      <c r="L933">
        <v>7.65</v>
      </c>
      <c r="N933" t="s">
        <v>3499</v>
      </c>
    </row>
    <row r="934" spans="2:14">
      <c r="B934" t="s">
        <v>3497</v>
      </c>
      <c r="C934" t="s">
        <v>3498</v>
      </c>
      <c r="D934">
        <v>250</v>
      </c>
      <c r="E934" t="s">
        <v>3474</v>
      </c>
      <c r="F934" t="s">
        <v>3487</v>
      </c>
      <c r="H934">
        <v>1980</v>
      </c>
      <c r="I934">
        <v>1988</v>
      </c>
      <c r="J934">
        <v>274</v>
      </c>
      <c r="K934">
        <v>257.55</v>
      </c>
      <c r="L934">
        <v>8.2249999999999996</v>
      </c>
      <c r="N934" t="s">
        <v>3499</v>
      </c>
    </row>
    <row r="935" spans="2:14">
      <c r="B935" t="s">
        <v>3497</v>
      </c>
      <c r="C935" t="s">
        <v>3498</v>
      </c>
      <c r="D935">
        <v>300</v>
      </c>
      <c r="E935" t="s">
        <v>3474</v>
      </c>
      <c r="F935" t="s">
        <v>3487</v>
      </c>
      <c r="H935">
        <v>1980</v>
      </c>
      <c r="I935">
        <v>1988</v>
      </c>
      <c r="J935">
        <v>326</v>
      </c>
      <c r="K935">
        <v>308.39999999999998</v>
      </c>
      <c r="L935">
        <v>8.8000000000000007</v>
      </c>
      <c r="N935" t="s">
        <v>3499</v>
      </c>
    </row>
    <row r="936" spans="2:14">
      <c r="B936" t="s">
        <v>3497</v>
      </c>
      <c r="C936" t="s">
        <v>3498</v>
      </c>
      <c r="D936">
        <v>350</v>
      </c>
      <c r="E936" t="s">
        <v>3474</v>
      </c>
      <c r="F936" t="s">
        <v>3487</v>
      </c>
      <c r="H936">
        <v>1980</v>
      </c>
      <c r="I936">
        <v>1988</v>
      </c>
      <c r="J936">
        <v>378</v>
      </c>
      <c r="K936">
        <v>359.25</v>
      </c>
      <c r="L936">
        <v>9.375</v>
      </c>
      <c r="N936" t="s">
        <v>3499</v>
      </c>
    </row>
    <row r="937" spans="2:14">
      <c r="B937" t="s">
        <v>3497</v>
      </c>
      <c r="C937" t="s">
        <v>3498</v>
      </c>
      <c r="D937">
        <v>400</v>
      </c>
      <c r="E937" t="s">
        <v>3474</v>
      </c>
      <c r="F937" t="s">
        <v>3487</v>
      </c>
      <c r="H937">
        <v>1980</v>
      </c>
      <c r="I937">
        <v>1988</v>
      </c>
      <c r="J937">
        <v>429</v>
      </c>
      <c r="K937">
        <v>409.1</v>
      </c>
      <c r="L937">
        <v>9.9499999999999993</v>
      </c>
      <c r="N937" t="s">
        <v>3499</v>
      </c>
    </row>
    <row r="938" spans="2:14">
      <c r="B938" t="s">
        <v>3497</v>
      </c>
      <c r="C938" t="s">
        <v>3498</v>
      </c>
      <c r="D938">
        <v>450</v>
      </c>
      <c r="E938" t="s">
        <v>3474</v>
      </c>
      <c r="F938" t="s">
        <v>3487</v>
      </c>
      <c r="H938">
        <v>1980</v>
      </c>
      <c r="I938">
        <v>1988</v>
      </c>
      <c r="J938">
        <v>480</v>
      </c>
      <c r="K938">
        <v>458.95</v>
      </c>
      <c r="L938">
        <v>10.525</v>
      </c>
      <c r="N938" t="s">
        <v>3499</v>
      </c>
    </row>
    <row r="939" spans="2:14">
      <c r="B939" t="s">
        <v>3497</v>
      </c>
      <c r="C939" t="s">
        <v>3498</v>
      </c>
      <c r="D939">
        <v>500</v>
      </c>
      <c r="E939" t="s">
        <v>3474</v>
      </c>
      <c r="F939" t="s">
        <v>3487</v>
      </c>
      <c r="H939">
        <v>1980</v>
      </c>
      <c r="I939">
        <v>1988</v>
      </c>
      <c r="J939">
        <v>532</v>
      </c>
      <c r="K939">
        <v>509.8</v>
      </c>
      <c r="L939">
        <v>11.1</v>
      </c>
      <c r="N939" t="s">
        <v>3499</v>
      </c>
    </row>
    <row r="940" spans="2:14">
      <c r="B940" t="s">
        <v>3497</v>
      </c>
      <c r="C940" t="s">
        <v>3498</v>
      </c>
      <c r="D940">
        <v>600</v>
      </c>
      <c r="E940" t="s">
        <v>3474</v>
      </c>
      <c r="F940" t="s">
        <v>3487</v>
      </c>
      <c r="H940">
        <v>1980</v>
      </c>
      <c r="I940">
        <v>1988</v>
      </c>
      <c r="J940">
        <v>635</v>
      </c>
      <c r="K940">
        <v>610.5</v>
      </c>
      <c r="L940">
        <v>12.25</v>
      </c>
      <c r="N940" t="s">
        <v>3499</v>
      </c>
    </row>
    <row r="941" spans="2:14">
      <c r="B941" t="s">
        <v>3497</v>
      </c>
      <c r="C941" t="s">
        <v>3498</v>
      </c>
      <c r="D941">
        <v>80</v>
      </c>
      <c r="E941" t="s">
        <v>3474</v>
      </c>
      <c r="F941" t="s">
        <v>3484</v>
      </c>
      <c r="H941">
        <v>1988</v>
      </c>
      <c r="I941">
        <v>1995</v>
      </c>
      <c r="J941">
        <v>98</v>
      </c>
      <c r="K941">
        <v>87.38</v>
      </c>
      <c r="L941">
        <v>5.31</v>
      </c>
      <c r="N941" t="s">
        <v>3500</v>
      </c>
    </row>
    <row r="942" spans="2:14">
      <c r="B942" t="s">
        <v>3497</v>
      </c>
      <c r="C942" t="s">
        <v>3498</v>
      </c>
      <c r="D942">
        <v>100</v>
      </c>
      <c r="E942" t="s">
        <v>3474</v>
      </c>
      <c r="F942" t="s">
        <v>3484</v>
      </c>
      <c r="H942">
        <v>1988</v>
      </c>
      <c r="I942">
        <v>1995</v>
      </c>
      <c r="J942">
        <v>118</v>
      </c>
      <c r="K942">
        <v>107.2</v>
      </c>
      <c r="L942">
        <v>5.4</v>
      </c>
      <c r="N942" t="s">
        <v>3500</v>
      </c>
    </row>
    <row r="943" spans="2:14">
      <c r="B943" t="s">
        <v>3497</v>
      </c>
      <c r="C943" t="s">
        <v>3498</v>
      </c>
      <c r="D943">
        <v>150</v>
      </c>
      <c r="E943" t="s">
        <v>3474</v>
      </c>
      <c r="F943" t="s">
        <v>3484</v>
      </c>
      <c r="H943">
        <v>1988</v>
      </c>
      <c r="I943">
        <v>1995</v>
      </c>
      <c r="J943">
        <v>170</v>
      </c>
      <c r="K943">
        <v>158.85</v>
      </c>
      <c r="L943">
        <v>5.5750000000000002</v>
      </c>
      <c r="N943" t="s">
        <v>3500</v>
      </c>
    </row>
    <row r="944" spans="2:14">
      <c r="B944" t="s">
        <v>3497</v>
      </c>
      <c r="C944" t="s">
        <v>3498</v>
      </c>
      <c r="D944">
        <v>200</v>
      </c>
      <c r="E944" t="s">
        <v>3474</v>
      </c>
      <c r="F944" t="s">
        <v>3484</v>
      </c>
      <c r="H944">
        <v>1988</v>
      </c>
      <c r="I944">
        <v>1995</v>
      </c>
      <c r="J944">
        <v>222</v>
      </c>
      <c r="K944">
        <v>210.7</v>
      </c>
      <c r="L944">
        <v>5.65</v>
      </c>
      <c r="N944" t="s">
        <v>3500</v>
      </c>
    </row>
    <row r="945" spans="2:14">
      <c r="B945" t="s">
        <v>3497</v>
      </c>
      <c r="C945" t="s">
        <v>3498</v>
      </c>
      <c r="D945">
        <v>250</v>
      </c>
      <c r="E945" t="s">
        <v>3474</v>
      </c>
      <c r="F945" t="s">
        <v>3484</v>
      </c>
      <c r="H945">
        <v>1988</v>
      </c>
      <c r="I945">
        <v>1995</v>
      </c>
      <c r="J945">
        <v>274</v>
      </c>
      <c r="K945">
        <v>261.95</v>
      </c>
      <c r="L945">
        <v>6.0250000000000004</v>
      </c>
      <c r="N945" t="s">
        <v>3500</v>
      </c>
    </row>
    <row r="946" spans="2:14">
      <c r="B946" t="s">
        <v>3497</v>
      </c>
      <c r="C946" t="s">
        <v>3498</v>
      </c>
      <c r="D946">
        <v>300</v>
      </c>
      <c r="E946" t="s">
        <v>3474</v>
      </c>
      <c r="F946" t="s">
        <v>3484</v>
      </c>
      <c r="H946">
        <v>1988</v>
      </c>
      <c r="I946">
        <v>1995</v>
      </c>
      <c r="J946">
        <v>326</v>
      </c>
      <c r="K946">
        <v>313.2</v>
      </c>
      <c r="L946">
        <v>6.4</v>
      </c>
      <c r="N946" t="s">
        <v>3500</v>
      </c>
    </row>
    <row r="947" spans="2:14">
      <c r="B947" t="s">
        <v>3497</v>
      </c>
      <c r="C947" t="s">
        <v>3498</v>
      </c>
      <c r="D947">
        <v>350</v>
      </c>
      <c r="E947" t="s">
        <v>3474</v>
      </c>
      <c r="F947" t="s">
        <v>3484</v>
      </c>
      <c r="H947">
        <v>1988</v>
      </c>
      <c r="I947">
        <v>1995</v>
      </c>
      <c r="J947">
        <v>378</v>
      </c>
      <c r="K947">
        <v>364.25</v>
      </c>
      <c r="L947">
        <v>6.875</v>
      </c>
      <c r="N947" t="s">
        <v>3500</v>
      </c>
    </row>
    <row r="948" spans="2:14">
      <c r="B948" t="s">
        <v>3497</v>
      </c>
      <c r="C948" t="s">
        <v>3498</v>
      </c>
      <c r="D948">
        <v>400</v>
      </c>
      <c r="E948" t="s">
        <v>3474</v>
      </c>
      <c r="F948" t="s">
        <v>3484</v>
      </c>
      <c r="H948">
        <v>1988</v>
      </c>
      <c r="I948">
        <v>1995</v>
      </c>
      <c r="J948">
        <v>429</v>
      </c>
      <c r="K948">
        <v>414.5</v>
      </c>
      <c r="L948">
        <v>7.25</v>
      </c>
      <c r="N948" t="s">
        <v>3500</v>
      </c>
    </row>
    <row r="949" spans="2:14">
      <c r="B949" t="s">
        <v>3497</v>
      </c>
      <c r="C949" t="s">
        <v>3498</v>
      </c>
      <c r="D949">
        <v>450</v>
      </c>
      <c r="E949" t="s">
        <v>3474</v>
      </c>
      <c r="F949" t="s">
        <v>3484</v>
      </c>
      <c r="H949">
        <v>1988</v>
      </c>
      <c r="I949">
        <v>1995</v>
      </c>
      <c r="J949">
        <v>480</v>
      </c>
      <c r="K949">
        <v>464.55</v>
      </c>
      <c r="L949">
        <v>7.7249999999999996</v>
      </c>
      <c r="N949" t="s">
        <v>3500</v>
      </c>
    </row>
    <row r="950" spans="2:14">
      <c r="B950" t="s">
        <v>3497</v>
      </c>
      <c r="C950" t="s">
        <v>3498</v>
      </c>
      <c r="D950">
        <v>500</v>
      </c>
      <c r="E950" t="s">
        <v>3474</v>
      </c>
      <c r="F950" t="s">
        <v>3484</v>
      </c>
      <c r="H950">
        <v>1988</v>
      </c>
      <c r="I950">
        <v>1995</v>
      </c>
      <c r="J950">
        <v>532</v>
      </c>
      <c r="K950">
        <v>515.79999999999995</v>
      </c>
      <c r="L950">
        <v>8.1</v>
      </c>
      <c r="N950" t="s">
        <v>3500</v>
      </c>
    </row>
    <row r="951" spans="2:14">
      <c r="B951" t="s">
        <v>3497</v>
      </c>
      <c r="C951" t="s">
        <v>3498</v>
      </c>
      <c r="D951">
        <v>600</v>
      </c>
      <c r="E951" t="s">
        <v>3474</v>
      </c>
      <c r="F951" t="s">
        <v>3484</v>
      </c>
      <c r="H951">
        <v>1988</v>
      </c>
      <c r="I951">
        <v>1995</v>
      </c>
      <c r="J951">
        <v>635</v>
      </c>
      <c r="K951">
        <v>617.1</v>
      </c>
      <c r="L951">
        <v>8.9499999999999993</v>
      </c>
      <c r="N951" t="s">
        <v>3500</v>
      </c>
    </row>
    <row r="952" spans="2:14">
      <c r="B952" t="s">
        <v>3497</v>
      </c>
      <c r="C952" t="s">
        <v>3498</v>
      </c>
      <c r="D952">
        <v>700</v>
      </c>
      <c r="E952" t="s">
        <v>3474</v>
      </c>
      <c r="F952" t="s">
        <v>3484</v>
      </c>
      <c r="H952">
        <v>1988</v>
      </c>
      <c r="I952">
        <v>1995</v>
      </c>
      <c r="J952">
        <v>738</v>
      </c>
      <c r="K952">
        <v>718.4</v>
      </c>
      <c r="L952">
        <v>9.8000000000000007</v>
      </c>
      <c r="N952" t="s">
        <v>3500</v>
      </c>
    </row>
    <row r="953" spans="2:14">
      <c r="B953" t="s">
        <v>3497</v>
      </c>
      <c r="C953" t="s">
        <v>3498</v>
      </c>
      <c r="D953">
        <v>800</v>
      </c>
      <c r="E953" t="s">
        <v>3474</v>
      </c>
      <c r="F953" t="s">
        <v>3484</v>
      </c>
      <c r="H953">
        <v>1988</v>
      </c>
      <c r="I953">
        <v>1995</v>
      </c>
      <c r="J953">
        <v>842</v>
      </c>
      <c r="K953">
        <v>820.7</v>
      </c>
      <c r="L953">
        <v>10.65</v>
      </c>
      <c r="N953" t="s">
        <v>3500</v>
      </c>
    </row>
    <row r="954" spans="2:14">
      <c r="B954" t="s">
        <v>3497</v>
      </c>
      <c r="C954" t="s">
        <v>3498</v>
      </c>
      <c r="D954">
        <v>900</v>
      </c>
      <c r="E954" t="s">
        <v>3474</v>
      </c>
      <c r="F954" t="s">
        <v>3484</v>
      </c>
      <c r="H954">
        <v>1988</v>
      </c>
      <c r="I954">
        <v>1995</v>
      </c>
      <c r="J954">
        <v>945</v>
      </c>
      <c r="K954">
        <v>922</v>
      </c>
      <c r="L954">
        <v>11.5</v>
      </c>
      <c r="N954" t="s">
        <v>3500</v>
      </c>
    </row>
    <row r="955" spans="2:14">
      <c r="B955" t="s">
        <v>3497</v>
      </c>
      <c r="C955" t="s">
        <v>3498</v>
      </c>
      <c r="D955">
        <v>1000</v>
      </c>
      <c r="E955" t="s">
        <v>3474</v>
      </c>
      <c r="F955" t="s">
        <v>3484</v>
      </c>
      <c r="H955">
        <v>1988</v>
      </c>
      <c r="I955">
        <v>1995</v>
      </c>
      <c r="J955">
        <v>1048</v>
      </c>
      <c r="K955">
        <v>1023.3</v>
      </c>
      <c r="L955">
        <v>12.35</v>
      </c>
      <c r="N955" t="s">
        <v>3500</v>
      </c>
    </row>
    <row r="956" spans="2:14">
      <c r="B956" t="s">
        <v>3497</v>
      </c>
      <c r="C956" t="s">
        <v>3498</v>
      </c>
      <c r="D956">
        <v>1100</v>
      </c>
      <c r="E956" t="s">
        <v>3474</v>
      </c>
      <c r="F956" t="s">
        <v>3484</v>
      </c>
      <c r="H956">
        <v>1988</v>
      </c>
      <c r="I956">
        <v>1995</v>
      </c>
      <c r="J956">
        <v>1152</v>
      </c>
      <c r="K956">
        <v>1125.5999999999999</v>
      </c>
      <c r="L956">
        <v>13.2</v>
      </c>
      <c r="N956" t="s">
        <v>3500</v>
      </c>
    </row>
    <row r="957" spans="2:14">
      <c r="B957" t="s">
        <v>3497</v>
      </c>
      <c r="C957" t="s">
        <v>3498</v>
      </c>
      <c r="D957">
        <v>1200</v>
      </c>
      <c r="E957" t="s">
        <v>3474</v>
      </c>
      <c r="F957" t="s">
        <v>3484</v>
      </c>
      <c r="H957">
        <v>1988</v>
      </c>
      <c r="I957">
        <v>1995</v>
      </c>
      <c r="J957">
        <v>1255</v>
      </c>
      <c r="K957">
        <v>1226.9000000000001</v>
      </c>
      <c r="L957">
        <v>14.05</v>
      </c>
      <c r="N957" t="s">
        <v>3500</v>
      </c>
    </row>
    <row r="958" spans="2:14">
      <c r="B958" t="s">
        <v>3497</v>
      </c>
      <c r="C958" t="s">
        <v>3498</v>
      </c>
      <c r="D958">
        <v>1400</v>
      </c>
      <c r="E958" t="s">
        <v>3474</v>
      </c>
      <c r="F958" t="s">
        <v>3484</v>
      </c>
      <c r="H958">
        <v>1988</v>
      </c>
      <c r="I958">
        <v>1995</v>
      </c>
      <c r="J958">
        <v>1462</v>
      </c>
      <c r="K958">
        <v>1430.5</v>
      </c>
      <c r="L958">
        <v>15.75</v>
      </c>
      <c r="N958" t="s">
        <v>3500</v>
      </c>
    </row>
    <row r="959" spans="2:14">
      <c r="B959" t="s">
        <v>3497</v>
      </c>
      <c r="C959" t="s">
        <v>3498</v>
      </c>
      <c r="D959">
        <v>80</v>
      </c>
      <c r="E959" t="s">
        <v>3474</v>
      </c>
      <c r="F959" t="s">
        <v>3485</v>
      </c>
      <c r="H959">
        <v>1988</v>
      </c>
      <c r="I959">
        <v>1995</v>
      </c>
      <c r="J959">
        <v>98</v>
      </c>
      <c r="K959">
        <v>87.38</v>
      </c>
      <c r="L959">
        <v>5.31</v>
      </c>
      <c r="N959" t="s">
        <v>3500</v>
      </c>
    </row>
    <row r="960" spans="2:14">
      <c r="B960" t="s">
        <v>3497</v>
      </c>
      <c r="C960" t="s">
        <v>3498</v>
      </c>
      <c r="D960">
        <v>100</v>
      </c>
      <c r="E960" t="s">
        <v>3474</v>
      </c>
      <c r="F960" t="s">
        <v>3485</v>
      </c>
      <c r="H960">
        <v>1988</v>
      </c>
      <c r="I960">
        <v>1995</v>
      </c>
      <c r="J960">
        <v>118</v>
      </c>
      <c r="K960">
        <v>107.2</v>
      </c>
      <c r="L960">
        <v>5.4</v>
      </c>
      <c r="N960" t="s">
        <v>3500</v>
      </c>
    </row>
    <row r="961" spans="2:14">
      <c r="B961" t="s">
        <v>3497</v>
      </c>
      <c r="C961" t="s">
        <v>3498</v>
      </c>
      <c r="D961">
        <v>150</v>
      </c>
      <c r="E961" t="s">
        <v>3474</v>
      </c>
      <c r="F961" t="s">
        <v>3485</v>
      </c>
      <c r="H961">
        <v>1988</v>
      </c>
      <c r="I961">
        <v>1995</v>
      </c>
      <c r="J961">
        <v>170</v>
      </c>
      <c r="K961">
        <v>158.85</v>
      </c>
      <c r="L961">
        <v>5.5750000000000002</v>
      </c>
      <c r="N961" t="s">
        <v>3500</v>
      </c>
    </row>
    <row r="962" spans="2:14">
      <c r="B962" t="s">
        <v>3497</v>
      </c>
      <c r="C962" t="s">
        <v>3498</v>
      </c>
      <c r="D962">
        <v>200</v>
      </c>
      <c r="E962" t="s">
        <v>3474</v>
      </c>
      <c r="F962" t="s">
        <v>3485</v>
      </c>
      <c r="H962">
        <v>1988</v>
      </c>
      <c r="I962">
        <v>1995</v>
      </c>
      <c r="J962">
        <v>222</v>
      </c>
      <c r="K962">
        <v>210.7</v>
      </c>
      <c r="L962">
        <v>5.65</v>
      </c>
      <c r="N962" t="s">
        <v>3500</v>
      </c>
    </row>
    <row r="963" spans="2:14">
      <c r="B963" t="s">
        <v>3497</v>
      </c>
      <c r="C963" t="s">
        <v>3498</v>
      </c>
      <c r="D963">
        <v>250</v>
      </c>
      <c r="E963" t="s">
        <v>3474</v>
      </c>
      <c r="F963" t="s">
        <v>3485</v>
      </c>
      <c r="H963">
        <v>1988</v>
      </c>
      <c r="I963">
        <v>1995</v>
      </c>
      <c r="J963">
        <v>274</v>
      </c>
      <c r="K963">
        <v>261.95</v>
      </c>
      <c r="L963">
        <v>6.0250000000000004</v>
      </c>
      <c r="N963" t="s">
        <v>3500</v>
      </c>
    </row>
    <row r="964" spans="2:14">
      <c r="B964" t="s">
        <v>3497</v>
      </c>
      <c r="C964" t="s">
        <v>3498</v>
      </c>
      <c r="D964">
        <v>300</v>
      </c>
      <c r="E964" t="s">
        <v>3474</v>
      </c>
      <c r="F964" t="s">
        <v>3485</v>
      </c>
      <c r="H964">
        <v>1988</v>
      </c>
      <c r="I964">
        <v>1995</v>
      </c>
      <c r="J964">
        <v>326</v>
      </c>
      <c r="K964">
        <v>313.2</v>
      </c>
      <c r="L964">
        <v>6.4</v>
      </c>
      <c r="N964" t="s">
        <v>3500</v>
      </c>
    </row>
    <row r="965" spans="2:14">
      <c r="B965" t="s">
        <v>3497</v>
      </c>
      <c r="C965" t="s">
        <v>3498</v>
      </c>
      <c r="D965">
        <v>350</v>
      </c>
      <c r="E965" t="s">
        <v>3474</v>
      </c>
      <c r="F965" t="s">
        <v>3485</v>
      </c>
      <c r="H965">
        <v>1988</v>
      </c>
      <c r="I965">
        <v>1995</v>
      </c>
      <c r="J965">
        <v>378</v>
      </c>
      <c r="K965">
        <v>364.25</v>
      </c>
      <c r="L965">
        <v>6.875</v>
      </c>
      <c r="N965" t="s">
        <v>3500</v>
      </c>
    </row>
    <row r="966" spans="2:14">
      <c r="B966" t="s">
        <v>3497</v>
      </c>
      <c r="C966" t="s">
        <v>3498</v>
      </c>
      <c r="D966">
        <v>400</v>
      </c>
      <c r="E966" t="s">
        <v>3474</v>
      </c>
      <c r="F966" t="s">
        <v>3485</v>
      </c>
      <c r="H966">
        <v>1988</v>
      </c>
      <c r="I966">
        <v>1995</v>
      </c>
      <c r="J966">
        <v>429</v>
      </c>
      <c r="K966">
        <v>414.5</v>
      </c>
      <c r="L966">
        <v>7.25</v>
      </c>
      <c r="N966" t="s">
        <v>3500</v>
      </c>
    </row>
    <row r="967" spans="2:14">
      <c r="B967" t="s">
        <v>3497</v>
      </c>
      <c r="C967" t="s">
        <v>3498</v>
      </c>
      <c r="D967">
        <v>450</v>
      </c>
      <c r="E967" t="s">
        <v>3474</v>
      </c>
      <c r="F967" t="s">
        <v>3485</v>
      </c>
      <c r="H967">
        <v>1988</v>
      </c>
      <c r="I967">
        <v>1995</v>
      </c>
      <c r="J967">
        <v>480</v>
      </c>
      <c r="K967">
        <v>464.55</v>
      </c>
      <c r="L967">
        <v>7.7249999999999996</v>
      </c>
      <c r="N967" t="s">
        <v>3500</v>
      </c>
    </row>
    <row r="968" spans="2:14">
      <c r="B968" t="s">
        <v>3497</v>
      </c>
      <c r="C968" t="s">
        <v>3498</v>
      </c>
      <c r="D968">
        <v>500</v>
      </c>
      <c r="E968" t="s">
        <v>3474</v>
      </c>
      <c r="F968" t="s">
        <v>3485</v>
      </c>
      <c r="H968">
        <v>1988</v>
      </c>
      <c r="I968">
        <v>1995</v>
      </c>
      <c r="J968">
        <v>532</v>
      </c>
      <c r="K968">
        <v>515.79999999999995</v>
      </c>
      <c r="L968">
        <v>8.1</v>
      </c>
      <c r="N968" t="s">
        <v>3500</v>
      </c>
    </row>
    <row r="969" spans="2:14">
      <c r="B969" t="s">
        <v>3497</v>
      </c>
      <c r="C969" t="s">
        <v>3498</v>
      </c>
      <c r="D969">
        <v>600</v>
      </c>
      <c r="E969" t="s">
        <v>3474</v>
      </c>
      <c r="F969" t="s">
        <v>3485</v>
      </c>
      <c r="H969">
        <v>1988</v>
      </c>
      <c r="I969">
        <v>1995</v>
      </c>
      <c r="J969">
        <v>635</v>
      </c>
      <c r="K969">
        <v>617.1</v>
      </c>
      <c r="L969">
        <v>8.9499999999999993</v>
      </c>
      <c r="N969" t="s">
        <v>3500</v>
      </c>
    </row>
    <row r="970" spans="2:14">
      <c r="B970" t="s">
        <v>3497</v>
      </c>
      <c r="C970" t="s">
        <v>3498</v>
      </c>
      <c r="D970">
        <v>700</v>
      </c>
      <c r="E970" t="s">
        <v>3474</v>
      </c>
      <c r="F970" t="s">
        <v>3485</v>
      </c>
      <c r="H970">
        <v>1988</v>
      </c>
      <c r="I970">
        <v>1995</v>
      </c>
      <c r="J970">
        <v>738</v>
      </c>
      <c r="K970">
        <v>718.4</v>
      </c>
      <c r="L970">
        <v>9.8000000000000007</v>
      </c>
      <c r="N970" t="s">
        <v>3500</v>
      </c>
    </row>
    <row r="971" spans="2:14">
      <c r="B971" t="s">
        <v>3497</v>
      </c>
      <c r="C971" t="s">
        <v>3498</v>
      </c>
      <c r="D971">
        <v>800</v>
      </c>
      <c r="E971" t="s">
        <v>3474</v>
      </c>
      <c r="F971" t="s">
        <v>3485</v>
      </c>
      <c r="H971">
        <v>1988</v>
      </c>
      <c r="I971">
        <v>1995</v>
      </c>
      <c r="J971">
        <v>842</v>
      </c>
      <c r="K971">
        <v>820.7</v>
      </c>
      <c r="L971">
        <v>10.65</v>
      </c>
      <c r="N971" t="s">
        <v>3500</v>
      </c>
    </row>
    <row r="972" spans="2:14">
      <c r="B972" t="s">
        <v>3497</v>
      </c>
      <c r="C972" t="s">
        <v>3498</v>
      </c>
      <c r="D972">
        <v>900</v>
      </c>
      <c r="E972" t="s">
        <v>3474</v>
      </c>
      <c r="F972" t="s">
        <v>3485</v>
      </c>
      <c r="H972">
        <v>1988</v>
      </c>
      <c r="I972">
        <v>1995</v>
      </c>
      <c r="J972">
        <v>945</v>
      </c>
      <c r="K972">
        <v>922</v>
      </c>
      <c r="L972">
        <v>11.5</v>
      </c>
      <c r="N972" t="s">
        <v>3500</v>
      </c>
    </row>
    <row r="973" spans="2:14">
      <c r="B973" t="s">
        <v>3497</v>
      </c>
      <c r="C973" t="s">
        <v>3498</v>
      </c>
      <c r="D973">
        <v>1000</v>
      </c>
      <c r="E973" t="s">
        <v>3474</v>
      </c>
      <c r="F973" t="s">
        <v>3485</v>
      </c>
      <c r="H973">
        <v>1988</v>
      </c>
      <c r="I973">
        <v>1995</v>
      </c>
      <c r="J973">
        <v>1048</v>
      </c>
      <c r="K973">
        <v>1023.3</v>
      </c>
      <c r="L973">
        <v>12.35</v>
      </c>
      <c r="N973" t="s">
        <v>3500</v>
      </c>
    </row>
    <row r="974" spans="2:14">
      <c r="B974" t="s">
        <v>3497</v>
      </c>
      <c r="C974" t="s">
        <v>3498</v>
      </c>
      <c r="D974">
        <v>1100</v>
      </c>
      <c r="E974" t="s">
        <v>3474</v>
      </c>
      <c r="F974" t="s">
        <v>3485</v>
      </c>
      <c r="H974">
        <v>1988</v>
      </c>
      <c r="I974">
        <v>1995</v>
      </c>
      <c r="J974">
        <v>1152</v>
      </c>
      <c r="K974">
        <v>1125.5999999999999</v>
      </c>
      <c r="L974">
        <v>13.2</v>
      </c>
      <c r="N974" t="s">
        <v>3500</v>
      </c>
    </row>
    <row r="975" spans="2:14">
      <c r="B975" t="s">
        <v>3497</v>
      </c>
      <c r="C975" t="s">
        <v>3498</v>
      </c>
      <c r="D975">
        <v>1200</v>
      </c>
      <c r="E975" t="s">
        <v>3474</v>
      </c>
      <c r="F975" t="s">
        <v>3485</v>
      </c>
      <c r="H975">
        <v>1988</v>
      </c>
      <c r="I975">
        <v>1995</v>
      </c>
      <c r="J975">
        <v>1255</v>
      </c>
      <c r="K975">
        <v>1226.9000000000001</v>
      </c>
      <c r="L975">
        <v>14.05</v>
      </c>
      <c r="N975" t="s">
        <v>3500</v>
      </c>
    </row>
    <row r="976" spans="2:14">
      <c r="B976" t="s">
        <v>3497</v>
      </c>
      <c r="C976" t="s">
        <v>3498</v>
      </c>
      <c r="D976">
        <v>1400</v>
      </c>
      <c r="E976" t="s">
        <v>3474</v>
      </c>
      <c r="F976" t="s">
        <v>3485</v>
      </c>
      <c r="H976">
        <v>1988</v>
      </c>
      <c r="I976">
        <v>1995</v>
      </c>
      <c r="J976">
        <v>1462</v>
      </c>
      <c r="K976">
        <v>1430.5</v>
      </c>
      <c r="L976">
        <v>15.75</v>
      </c>
      <c r="N976" t="s">
        <v>3500</v>
      </c>
    </row>
    <row r="977" spans="2:14">
      <c r="B977" t="s">
        <v>3497</v>
      </c>
      <c r="C977" t="s">
        <v>3498</v>
      </c>
      <c r="D977">
        <v>80</v>
      </c>
      <c r="E977" t="s">
        <v>3474</v>
      </c>
      <c r="F977" t="s">
        <v>3486</v>
      </c>
      <c r="H977">
        <v>1988</v>
      </c>
      <c r="I977">
        <v>1995</v>
      </c>
      <c r="J977">
        <v>98</v>
      </c>
      <c r="K977">
        <v>85.38</v>
      </c>
      <c r="L977">
        <v>6.31</v>
      </c>
      <c r="N977" t="s">
        <v>3500</v>
      </c>
    </row>
    <row r="978" spans="2:14">
      <c r="B978" t="s">
        <v>3497</v>
      </c>
      <c r="C978" t="s">
        <v>3498</v>
      </c>
      <c r="D978">
        <v>100</v>
      </c>
      <c r="E978" t="s">
        <v>3474</v>
      </c>
      <c r="F978" t="s">
        <v>3486</v>
      </c>
      <c r="H978">
        <v>1988</v>
      </c>
      <c r="I978">
        <v>1995</v>
      </c>
      <c r="J978">
        <v>118</v>
      </c>
      <c r="K978">
        <v>105</v>
      </c>
      <c r="L978">
        <v>6.5</v>
      </c>
      <c r="N978" t="s">
        <v>3500</v>
      </c>
    </row>
    <row r="979" spans="2:14">
      <c r="B979" t="s">
        <v>3497</v>
      </c>
      <c r="C979" t="s">
        <v>3498</v>
      </c>
      <c r="D979">
        <v>150</v>
      </c>
      <c r="E979" t="s">
        <v>3474</v>
      </c>
      <c r="F979" t="s">
        <v>3486</v>
      </c>
      <c r="H979">
        <v>1988</v>
      </c>
      <c r="I979">
        <v>1995</v>
      </c>
      <c r="J979">
        <v>170</v>
      </c>
      <c r="K979">
        <v>155.85</v>
      </c>
      <c r="L979">
        <v>7.0750000000000002</v>
      </c>
      <c r="N979" t="s">
        <v>3500</v>
      </c>
    </row>
    <row r="980" spans="2:14">
      <c r="B980" t="s">
        <v>3497</v>
      </c>
      <c r="C980" t="s">
        <v>3498</v>
      </c>
      <c r="D980">
        <v>200</v>
      </c>
      <c r="E980" t="s">
        <v>3474</v>
      </c>
      <c r="F980" t="s">
        <v>3486</v>
      </c>
      <c r="H980">
        <v>1988</v>
      </c>
      <c r="I980">
        <v>1995</v>
      </c>
      <c r="J980">
        <v>222</v>
      </c>
      <c r="K980">
        <v>206.7</v>
      </c>
      <c r="L980">
        <v>7.65</v>
      </c>
      <c r="N980" t="s">
        <v>3500</v>
      </c>
    </row>
    <row r="981" spans="2:14">
      <c r="B981" t="s">
        <v>3497</v>
      </c>
      <c r="C981" t="s">
        <v>3498</v>
      </c>
      <c r="D981">
        <v>250</v>
      </c>
      <c r="E981" t="s">
        <v>3474</v>
      </c>
      <c r="F981" t="s">
        <v>3486</v>
      </c>
      <c r="H981">
        <v>1988</v>
      </c>
      <c r="I981">
        <v>1995</v>
      </c>
      <c r="J981">
        <v>274</v>
      </c>
      <c r="K981">
        <v>257.55</v>
      </c>
      <c r="L981">
        <v>8.2249999999999996</v>
      </c>
      <c r="N981" t="s">
        <v>3500</v>
      </c>
    </row>
    <row r="982" spans="2:14">
      <c r="B982" t="s">
        <v>3497</v>
      </c>
      <c r="C982" t="s">
        <v>3498</v>
      </c>
      <c r="D982">
        <v>300</v>
      </c>
      <c r="E982" t="s">
        <v>3474</v>
      </c>
      <c r="F982" t="s">
        <v>3486</v>
      </c>
      <c r="H982">
        <v>1988</v>
      </c>
      <c r="I982">
        <v>1995</v>
      </c>
      <c r="J982">
        <v>326</v>
      </c>
      <c r="K982">
        <v>308.39999999999998</v>
      </c>
      <c r="L982">
        <v>8.8000000000000007</v>
      </c>
      <c r="N982" t="s">
        <v>3500</v>
      </c>
    </row>
    <row r="983" spans="2:14">
      <c r="B983" t="s">
        <v>3497</v>
      </c>
      <c r="C983" t="s">
        <v>3498</v>
      </c>
      <c r="D983">
        <v>350</v>
      </c>
      <c r="E983" t="s">
        <v>3474</v>
      </c>
      <c r="F983" t="s">
        <v>3486</v>
      </c>
      <c r="H983">
        <v>1988</v>
      </c>
      <c r="I983">
        <v>1995</v>
      </c>
      <c r="J983">
        <v>378</v>
      </c>
      <c r="K983">
        <v>359.25</v>
      </c>
      <c r="L983">
        <v>9.375</v>
      </c>
      <c r="N983" t="s">
        <v>3500</v>
      </c>
    </row>
    <row r="984" spans="2:14">
      <c r="B984" t="s">
        <v>3497</v>
      </c>
      <c r="C984" t="s">
        <v>3498</v>
      </c>
      <c r="D984">
        <v>400</v>
      </c>
      <c r="E984" t="s">
        <v>3474</v>
      </c>
      <c r="F984" t="s">
        <v>3486</v>
      </c>
      <c r="H984">
        <v>1988</v>
      </c>
      <c r="I984">
        <v>1995</v>
      </c>
      <c r="J984">
        <v>429</v>
      </c>
      <c r="K984">
        <v>409.1</v>
      </c>
      <c r="L984">
        <v>9.9499999999999993</v>
      </c>
      <c r="N984" t="s">
        <v>3500</v>
      </c>
    </row>
    <row r="985" spans="2:14">
      <c r="B985" t="s">
        <v>3497</v>
      </c>
      <c r="C985" t="s">
        <v>3498</v>
      </c>
      <c r="D985">
        <v>450</v>
      </c>
      <c r="E985" t="s">
        <v>3474</v>
      </c>
      <c r="F985" t="s">
        <v>3486</v>
      </c>
      <c r="H985">
        <v>1988</v>
      </c>
      <c r="I985">
        <v>1995</v>
      </c>
      <c r="J985">
        <v>480</v>
      </c>
      <c r="K985">
        <v>458.95</v>
      </c>
      <c r="L985">
        <v>10.525</v>
      </c>
      <c r="N985" t="s">
        <v>3500</v>
      </c>
    </row>
    <row r="986" spans="2:14">
      <c r="B986" t="s">
        <v>3497</v>
      </c>
      <c r="C986" t="s">
        <v>3498</v>
      </c>
      <c r="D986">
        <v>500</v>
      </c>
      <c r="E986" t="s">
        <v>3474</v>
      </c>
      <c r="F986" t="s">
        <v>3486</v>
      </c>
      <c r="H986">
        <v>1988</v>
      </c>
      <c r="I986">
        <v>1995</v>
      </c>
      <c r="J986">
        <v>532</v>
      </c>
      <c r="K986">
        <v>509.8</v>
      </c>
      <c r="L986">
        <v>11.1</v>
      </c>
      <c r="N986" t="s">
        <v>3500</v>
      </c>
    </row>
    <row r="987" spans="2:14">
      <c r="B987" t="s">
        <v>3497</v>
      </c>
      <c r="C987" t="s">
        <v>3498</v>
      </c>
      <c r="D987">
        <v>600</v>
      </c>
      <c r="E987" t="s">
        <v>3474</v>
      </c>
      <c r="F987" t="s">
        <v>3486</v>
      </c>
      <c r="H987">
        <v>1988</v>
      </c>
      <c r="I987">
        <v>1995</v>
      </c>
      <c r="J987">
        <v>635</v>
      </c>
      <c r="K987">
        <v>610.5</v>
      </c>
      <c r="L987">
        <v>12.25</v>
      </c>
      <c r="N987" t="s">
        <v>3500</v>
      </c>
    </row>
    <row r="988" spans="2:14">
      <c r="B988" t="s">
        <v>3497</v>
      </c>
      <c r="C988" t="s">
        <v>3498</v>
      </c>
      <c r="D988">
        <v>700</v>
      </c>
      <c r="E988" t="s">
        <v>3474</v>
      </c>
      <c r="F988" t="s">
        <v>3486</v>
      </c>
      <c r="H988">
        <v>1988</v>
      </c>
      <c r="I988">
        <v>1995</v>
      </c>
      <c r="J988">
        <v>738</v>
      </c>
      <c r="K988">
        <v>711.2</v>
      </c>
      <c r="L988">
        <v>13.4</v>
      </c>
      <c r="N988" t="s">
        <v>3500</v>
      </c>
    </row>
    <row r="989" spans="2:14">
      <c r="B989" t="s">
        <v>3497</v>
      </c>
      <c r="C989" t="s">
        <v>3498</v>
      </c>
      <c r="D989">
        <v>800</v>
      </c>
      <c r="E989" t="s">
        <v>3474</v>
      </c>
      <c r="F989" t="s">
        <v>3486</v>
      </c>
      <c r="H989">
        <v>1988</v>
      </c>
      <c r="I989">
        <v>1995</v>
      </c>
      <c r="J989">
        <v>842</v>
      </c>
      <c r="K989">
        <v>812.9</v>
      </c>
      <c r="L989">
        <v>14.55</v>
      </c>
      <c r="N989" t="s">
        <v>3500</v>
      </c>
    </row>
    <row r="990" spans="2:14">
      <c r="B990" t="s">
        <v>3497</v>
      </c>
      <c r="C990" t="s">
        <v>3498</v>
      </c>
      <c r="D990">
        <v>900</v>
      </c>
      <c r="E990" t="s">
        <v>3474</v>
      </c>
      <c r="F990" t="s">
        <v>3486</v>
      </c>
      <c r="H990">
        <v>1988</v>
      </c>
      <c r="I990">
        <v>1995</v>
      </c>
      <c r="J990">
        <v>945</v>
      </c>
      <c r="K990">
        <v>913.6</v>
      </c>
      <c r="L990">
        <v>15.7</v>
      </c>
      <c r="N990" t="s">
        <v>3500</v>
      </c>
    </row>
    <row r="991" spans="2:14">
      <c r="B991" t="s">
        <v>3497</v>
      </c>
      <c r="C991" t="s">
        <v>3498</v>
      </c>
      <c r="D991">
        <v>1000</v>
      </c>
      <c r="E991" t="s">
        <v>3474</v>
      </c>
      <c r="F991" t="s">
        <v>3486</v>
      </c>
      <c r="H991">
        <v>1988</v>
      </c>
      <c r="I991">
        <v>1995</v>
      </c>
      <c r="J991">
        <v>1048</v>
      </c>
      <c r="K991">
        <v>1014.3</v>
      </c>
      <c r="L991">
        <v>16.850000000000001</v>
      </c>
      <c r="N991" t="s">
        <v>3500</v>
      </c>
    </row>
    <row r="992" spans="2:14">
      <c r="B992" t="s">
        <v>3497</v>
      </c>
      <c r="C992" t="s">
        <v>3498</v>
      </c>
      <c r="D992">
        <v>1100</v>
      </c>
      <c r="E992" t="s">
        <v>3474</v>
      </c>
      <c r="F992" t="s">
        <v>3486</v>
      </c>
      <c r="H992">
        <v>1988</v>
      </c>
      <c r="I992">
        <v>1995</v>
      </c>
      <c r="J992">
        <v>1152</v>
      </c>
      <c r="K992">
        <v>1116</v>
      </c>
      <c r="L992">
        <v>18</v>
      </c>
      <c r="N992" t="s">
        <v>3500</v>
      </c>
    </row>
    <row r="993" spans="2:14">
      <c r="B993" t="s">
        <v>3497</v>
      </c>
      <c r="C993" t="s">
        <v>3498</v>
      </c>
      <c r="D993">
        <v>1200</v>
      </c>
      <c r="E993" t="s">
        <v>3474</v>
      </c>
      <c r="F993" t="s">
        <v>3486</v>
      </c>
      <c r="H993">
        <v>1988</v>
      </c>
      <c r="I993">
        <v>1995</v>
      </c>
      <c r="J993">
        <v>1255</v>
      </c>
      <c r="K993">
        <v>1216.7</v>
      </c>
      <c r="L993">
        <v>19.149999999999999</v>
      </c>
      <c r="N993" t="s">
        <v>3500</v>
      </c>
    </row>
    <row r="994" spans="2:14">
      <c r="B994" t="s">
        <v>3497</v>
      </c>
      <c r="C994" t="s">
        <v>3498</v>
      </c>
      <c r="D994">
        <v>1400</v>
      </c>
      <c r="E994" t="s">
        <v>3474</v>
      </c>
      <c r="F994" t="s">
        <v>3486</v>
      </c>
      <c r="H994">
        <v>1988</v>
      </c>
      <c r="I994">
        <v>1995</v>
      </c>
      <c r="J994">
        <v>1462</v>
      </c>
      <c r="K994">
        <v>1419.1</v>
      </c>
      <c r="L994">
        <v>21.45</v>
      </c>
      <c r="N994" t="s">
        <v>3500</v>
      </c>
    </row>
    <row r="995" spans="2:14">
      <c r="B995" t="s">
        <v>3497</v>
      </c>
      <c r="C995" t="s">
        <v>3498</v>
      </c>
      <c r="D995">
        <v>80</v>
      </c>
      <c r="E995" t="s">
        <v>3474</v>
      </c>
      <c r="F995" t="s">
        <v>3487</v>
      </c>
      <c r="H995">
        <v>1988</v>
      </c>
      <c r="I995">
        <v>1995</v>
      </c>
      <c r="J995">
        <v>98</v>
      </c>
      <c r="K995">
        <v>85.38</v>
      </c>
      <c r="L995">
        <v>6.31</v>
      </c>
      <c r="N995" t="s">
        <v>3500</v>
      </c>
    </row>
    <row r="996" spans="2:14">
      <c r="B996" t="s">
        <v>3497</v>
      </c>
      <c r="C996" t="s">
        <v>3498</v>
      </c>
      <c r="D996">
        <v>100</v>
      </c>
      <c r="E996" t="s">
        <v>3474</v>
      </c>
      <c r="F996" t="s">
        <v>3487</v>
      </c>
      <c r="H996">
        <v>1988</v>
      </c>
      <c r="I996">
        <v>1995</v>
      </c>
      <c r="J996">
        <v>118</v>
      </c>
      <c r="K996">
        <v>105</v>
      </c>
      <c r="L996">
        <v>6.5</v>
      </c>
      <c r="N996" t="s">
        <v>3500</v>
      </c>
    </row>
    <row r="997" spans="2:14">
      <c r="B997" t="s">
        <v>3497</v>
      </c>
      <c r="C997" t="s">
        <v>3498</v>
      </c>
      <c r="D997">
        <v>150</v>
      </c>
      <c r="E997" t="s">
        <v>3474</v>
      </c>
      <c r="F997" t="s">
        <v>3487</v>
      </c>
      <c r="H997">
        <v>1988</v>
      </c>
      <c r="I997">
        <v>1995</v>
      </c>
      <c r="J997">
        <v>170</v>
      </c>
      <c r="K997">
        <v>155.85</v>
      </c>
      <c r="L997">
        <v>7.0750000000000002</v>
      </c>
      <c r="N997" t="s">
        <v>3500</v>
      </c>
    </row>
    <row r="998" spans="2:14">
      <c r="B998" t="s">
        <v>3497</v>
      </c>
      <c r="C998" t="s">
        <v>3498</v>
      </c>
      <c r="D998">
        <v>200</v>
      </c>
      <c r="E998" t="s">
        <v>3474</v>
      </c>
      <c r="F998" t="s">
        <v>3487</v>
      </c>
      <c r="H998">
        <v>1988</v>
      </c>
      <c r="I998">
        <v>1995</v>
      </c>
      <c r="J998">
        <v>222</v>
      </c>
      <c r="K998">
        <v>206.7</v>
      </c>
      <c r="L998">
        <v>7.65</v>
      </c>
      <c r="N998" t="s">
        <v>3500</v>
      </c>
    </row>
    <row r="999" spans="2:14">
      <c r="B999" t="s">
        <v>3497</v>
      </c>
      <c r="C999" t="s">
        <v>3498</v>
      </c>
      <c r="D999">
        <v>250</v>
      </c>
      <c r="E999" t="s">
        <v>3474</v>
      </c>
      <c r="F999" t="s">
        <v>3487</v>
      </c>
      <c r="H999">
        <v>1988</v>
      </c>
      <c r="I999">
        <v>1995</v>
      </c>
      <c r="J999">
        <v>274</v>
      </c>
      <c r="K999">
        <v>257.55</v>
      </c>
      <c r="L999">
        <v>8.2249999999999996</v>
      </c>
      <c r="N999" t="s">
        <v>3500</v>
      </c>
    </row>
    <row r="1000" spans="2:14">
      <c r="B1000" t="s">
        <v>3497</v>
      </c>
      <c r="C1000" t="s">
        <v>3498</v>
      </c>
      <c r="D1000">
        <v>300</v>
      </c>
      <c r="E1000" t="s">
        <v>3474</v>
      </c>
      <c r="F1000" t="s">
        <v>3487</v>
      </c>
      <c r="H1000">
        <v>1988</v>
      </c>
      <c r="I1000">
        <v>1995</v>
      </c>
      <c r="J1000">
        <v>326</v>
      </c>
      <c r="K1000">
        <v>308.39999999999998</v>
      </c>
      <c r="L1000">
        <v>8.8000000000000007</v>
      </c>
      <c r="N1000" t="s">
        <v>3500</v>
      </c>
    </row>
    <row r="1001" spans="2:14">
      <c r="B1001" t="s">
        <v>3497</v>
      </c>
      <c r="C1001" t="s">
        <v>3498</v>
      </c>
      <c r="D1001">
        <v>350</v>
      </c>
      <c r="E1001" t="s">
        <v>3474</v>
      </c>
      <c r="F1001" t="s">
        <v>3487</v>
      </c>
      <c r="H1001">
        <v>1988</v>
      </c>
      <c r="I1001">
        <v>1995</v>
      </c>
      <c r="J1001">
        <v>378</v>
      </c>
      <c r="K1001">
        <v>359.25</v>
      </c>
      <c r="L1001">
        <v>9.375</v>
      </c>
      <c r="N1001" t="s">
        <v>3500</v>
      </c>
    </row>
    <row r="1002" spans="2:14">
      <c r="B1002" t="s">
        <v>3497</v>
      </c>
      <c r="C1002" t="s">
        <v>3498</v>
      </c>
      <c r="D1002">
        <v>400</v>
      </c>
      <c r="E1002" t="s">
        <v>3474</v>
      </c>
      <c r="F1002" t="s">
        <v>3487</v>
      </c>
      <c r="H1002">
        <v>1988</v>
      </c>
      <c r="I1002">
        <v>1995</v>
      </c>
      <c r="J1002">
        <v>429</v>
      </c>
      <c r="K1002">
        <v>409.1</v>
      </c>
      <c r="L1002">
        <v>9.9499999999999993</v>
      </c>
      <c r="N1002" t="s">
        <v>3500</v>
      </c>
    </row>
    <row r="1003" spans="2:14">
      <c r="B1003" t="s">
        <v>3497</v>
      </c>
      <c r="C1003" t="s">
        <v>3498</v>
      </c>
      <c r="D1003">
        <v>450</v>
      </c>
      <c r="E1003" t="s">
        <v>3474</v>
      </c>
      <c r="F1003" t="s">
        <v>3487</v>
      </c>
      <c r="H1003">
        <v>1988</v>
      </c>
      <c r="I1003">
        <v>1995</v>
      </c>
      <c r="J1003">
        <v>480</v>
      </c>
      <c r="K1003">
        <v>458.95</v>
      </c>
      <c r="L1003">
        <v>10.525</v>
      </c>
      <c r="N1003" t="s">
        <v>3500</v>
      </c>
    </row>
    <row r="1004" spans="2:14">
      <c r="B1004" t="s">
        <v>3497</v>
      </c>
      <c r="C1004" t="s">
        <v>3498</v>
      </c>
      <c r="D1004">
        <v>500</v>
      </c>
      <c r="E1004" t="s">
        <v>3474</v>
      </c>
      <c r="F1004" t="s">
        <v>3487</v>
      </c>
      <c r="H1004">
        <v>1988</v>
      </c>
      <c r="I1004">
        <v>1995</v>
      </c>
      <c r="J1004">
        <v>532</v>
      </c>
      <c r="K1004">
        <v>509.8</v>
      </c>
      <c r="L1004">
        <v>11.1</v>
      </c>
      <c r="N1004" t="s">
        <v>3500</v>
      </c>
    </row>
    <row r="1005" spans="2:14">
      <c r="B1005" t="s">
        <v>3497</v>
      </c>
      <c r="C1005" t="s">
        <v>3498</v>
      </c>
      <c r="D1005">
        <v>600</v>
      </c>
      <c r="E1005" t="s">
        <v>3474</v>
      </c>
      <c r="F1005" t="s">
        <v>3487</v>
      </c>
      <c r="H1005">
        <v>1988</v>
      </c>
      <c r="I1005">
        <v>1995</v>
      </c>
      <c r="J1005">
        <v>635</v>
      </c>
      <c r="K1005">
        <v>610.5</v>
      </c>
      <c r="L1005">
        <v>12.25</v>
      </c>
      <c r="N1005" t="s">
        <v>3500</v>
      </c>
    </row>
    <row r="1006" spans="2:14">
      <c r="B1006" t="s">
        <v>3497</v>
      </c>
      <c r="C1006" t="s">
        <v>3498</v>
      </c>
      <c r="D1006">
        <v>40</v>
      </c>
      <c r="E1006" t="s">
        <v>3474</v>
      </c>
      <c r="F1006" t="s">
        <v>3495</v>
      </c>
      <c r="H1006">
        <v>1995</v>
      </c>
      <c r="J1006">
        <v>56</v>
      </c>
      <c r="K1006">
        <v>45.3</v>
      </c>
      <c r="L1006">
        <v>5.35</v>
      </c>
      <c r="N1006" t="s">
        <v>3501</v>
      </c>
    </row>
    <row r="1007" spans="2:14">
      <c r="B1007" t="s">
        <v>3497</v>
      </c>
      <c r="C1007" t="s">
        <v>3498</v>
      </c>
      <c r="D1007">
        <v>50</v>
      </c>
      <c r="E1007" t="s">
        <v>3474</v>
      </c>
      <c r="F1007" t="s">
        <v>3495</v>
      </c>
      <c r="H1007">
        <v>1995</v>
      </c>
      <c r="J1007">
        <v>66</v>
      </c>
      <c r="K1007">
        <v>55.3</v>
      </c>
      <c r="L1007">
        <v>5.35</v>
      </c>
      <c r="N1007" t="s">
        <v>3501</v>
      </c>
    </row>
    <row r="1008" spans="2:14">
      <c r="B1008" t="s">
        <v>3497</v>
      </c>
      <c r="C1008" t="s">
        <v>3498</v>
      </c>
      <c r="D1008">
        <v>60</v>
      </c>
      <c r="E1008" t="s">
        <v>3474</v>
      </c>
      <c r="F1008" t="s">
        <v>3495</v>
      </c>
      <c r="H1008">
        <v>1995</v>
      </c>
      <c r="J1008">
        <v>77</v>
      </c>
      <c r="K1008">
        <v>66.3</v>
      </c>
      <c r="L1008">
        <v>5.35</v>
      </c>
      <c r="N1008" t="s">
        <v>3501</v>
      </c>
    </row>
    <row r="1009" spans="2:14">
      <c r="B1009" t="s">
        <v>3497</v>
      </c>
      <c r="C1009" t="s">
        <v>3498</v>
      </c>
      <c r="D1009">
        <v>65</v>
      </c>
      <c r="E1009" t="s">
        <v>3474</v>
      </c>
      <c r="F1009" t="s">
        <v>3495</v>
      </c>
      <c r="H1009">
        <v>1995</v>
      </c>
      <c r="J1009">
        <v>82</v>
      </c>
      <c r="K1009">
        <v>71.3</v>
      </c>
      <c r="L1009">
        <v>5.35</v>
      </c>
      <c r="N1009" t="s">
        <v>3501</v>
      </c>
    </row>
    <row r="1010" spans="2:14">
      <c r="B1010" t="s">
        <v>3497</v>
      </c>
      <c r="C1010" t="s">
        <v>3498</v>
      </c>
      <c r="D1010">
        <v>80</v>
      </c>
      <c r="E1010" t="s">
        <v>3474</v>
      </c>
      <c r="F1010" t="s">
        <v>3495</v>
      </c>
      <c r="H1010">
        <v>1995</v>
      </c>
      <c r="J1010">
        <v>98</v>
      </c>
      <c r="K1010">
        <v>87.3</v>
      </c>
      <c r="L1010">
        <v>5.35</v>
      </c>
      <c r="N1010" t="s">
        <v>3501</v>
      </c>
    </row>
    <row r="1011" spans="2:14">
      <c r="B1011" t="s">
        <v>3497</v>
      </c>
      <c r="C1011" t="s">
        <v>3498</v>
      </c>
      <c r="D1011">
        <v>100</v>
      </c>
      <c r="E1011" t="s">
        <v>3474</v>
      </c>
      <c r="F1011" t="s">
        <v>3495</v>
      </c>
      <c r="H1011">
        <v>1995</v>
      </c>
      <c r="J1011">
        <v>118</v>
      </c>
      <c r="K1011">
        <v>107.3</v>
      </c>
      <c r="L1011">
        <v>5.35</v>
      </c>
      <c r="N1011" t="s">
        <v>3501</v>
      </c>
    </row>
    <row r="1012" spans="2:14">
      <c r="B1012" t="s">
        <v>3497</v>
      </c>
      <c r="C1012" t="s">
        <v>3498</v>
      </c>
      <c r="D1012">
        <v>125</v>
      </c>
      <c r="E1012" t="s">
        <v>3474</v>
      </c>
      <c r="F1012" t="s">
        <v>3495</v>
      </c>
      <c r="H1012">
        <v>1995</v>
      </c>
      <c r="J1012">
        <v>144</v>
      </c>
      <c r="K1012">
        <v>133.30000000000001</v>
      </c>
      <c r="L1012">
        <v>5.35</v>
      </c>
      <c r="N1012" t="s">
        <v>3501</v>
      </c>
    </row>
    <row r="1013" spans="2:14">
      <c r="B1013" t="s">
        <v>3497</v>
      </c>
      <c r="C1013" t="s">
        <v>3498</v>
      </c>
      <c r="D1013">
        <v>150</v>
      </c>
      <c r="E1013" t="s">
        <v>3474</v>
      </c>
      <c r="F1013" t="s">
        <v>3495</v>
      </c>
      <c r="H1013">
        <v>1995</v>
      </c>
      <c r="J1013">
        <v>170</v>
      </c>
      <c r="K1013">
        <v>159.30000000000001</v>
      </c>
      <c r="L1013">
        <v>5.35</v>
      </c>
      <c r="N1013" t="s">
        <v>3501</v>
      </c>
    </row>
    <row r="1014" spans="2:14">
      <c r="B1014" t="s">
        <v>3497</v>
      </c>
      <c r="C1014" t="s">
        <v>3498</v>
      </c>
      <c r="D1014">
        <v>200</v>
      </c>
      <c r="E1014" t="s">
        <v>3474</v>
      </c>
      <c r="F1014" t="s">
        <v>3495</v>
      </c>
      <c r="H1014">
        <v>1995</v>
      </c>
      <c r="J1014">
        <v>222</v>
      </c>
      <c r="K1014">
        <v>210.9</v>
      </c>
      <c r="L1014">
        <v>5.55</v>
      </c>
      <c r="N1014" t="s">
        <v>3501</v>
      </c>
    </row>
    <row r="1015" spans="2:14">
      <c r="B1015" t="s">
        <v>3497</v>
      </c>
      <c r="C1015" t="s">
        <v>3498</v>
      </c>
      <c r="D1015">
        <v>250</v>
      </c>
      <c r="E1015" t="s">
        <v>3474</v>
      </c>
      <c r="F1015" t="s">
        <v>3495</v>
      </c>
      <c r="H1015">
        <v>1995</v>
      </c>
      <c r="J1015">
        <v>274</v>
      </c>
      <c r="K1015">
        <v>262</v>
      </c>
      <c r="L1015">
        <v>6</v>
      </c>
      <c r="N1015" t="s">
        <v>3501</v>
      </c>
    </row>
    <row r="1016" spans="2:14">
      <c r="B1016" t="s">
        <v>3497</v>
      </c>
      <c r="C1016" t="s">
        <v>3498</v>
      </c>
      <c r="D1016">
        <v>300</v>
      </c>
      <c r="E1016" t="s">
        <v>3474</v>
      </c>
      <c r="F1016" t="s">
        <v>3495</v>
      </c>
      <c r="H1016">
        <v>1995</v>
      </c>
      <c r="J1016">
        <v>326</v>
      </c>
      <c r="K1016">
        <v>313.2</v>
      </c>
      <c r="L1016">
        <v>6.4</v>
      </c>
      <c r="N1016" t="s">
        <v>3501</v>
      </c>
    </row>
    <row r="1017" spans="2:14">
      <c r="B1017" t="s">
        <v>3497</v>
      </c>
      <c r="C1017" t="s">
        <v>3498</v>
      </c>
      <c r="D1017">
        <v>350</v>
      </c>
      <c r="E1017" t="s">
        <v>3474</v>
      </c>
      <c r="F1017" t="s">
        <v>3495</v>
      </c>
      <c r="H1017">
        <v>1995</v>
      </c>
      <c r="J1017">
        <v>378</v>
      </c>
      <c r="K1017">
        <v>364.3</v>
      </c>
      <c r="L1017">
        <v>6.85</v>
      </c>
      <c r="N1017" t="s">
        <v>3501</v>
      </c>
    </row>
    <row r="1018" spans="2:14">
      <c r="B1018" t="s">
        <v>3497</v>
      </c>
      <c r="C1018" t="s">
        <v>3498</v>
      </c>
      <c r="D1018">
        <v>400</v>
      </c>
      <c r="E1018" t="s">
        <v>3474</v>
      </c>
      <c r="F1018" t="s">
        <v>3495</v>
      </c>
      <c r="H1018">
        <v>1995</v>
      </c>
      <c r="J1018">
        <v>429</v>
      </c>
      <c r="K1018">
        <v>414.5</v>
      </c>
      <c r="L1018">
        <v>7.25</v>
      </c>
      <c r="N1018" t="s">
        <v>3501</v>
      </c>
    </row>
    <row r="1019" spans="2:14">
      <c r="B1019" t="s">
        <v>3497</v>
      </c>
      <c r="C1019" t="s">
        <v>3498</v>
      </c>
      <c r="D1019">
        <v>450</v>
      </c>
      <c r="E1019" t="s">
        <v>3474</v>
      </c>
      <c r="F1019" t="s">
        <v>3495</v>
      </c>
      <c r="H1019">
        <v>1995</v>
      </c>
      <c r="J1019">
        <v>480</v>
      </c>
      <c r="K1019">
        <v>464.6</v>
      </c>
      <c r="L1019">
        <v>7.7</v>
      </c>
      <c r="N1019" t="s">
        <v>3501</v>
      </c>
    </row>
    <row r="1020" spans="2:14">
      <c r="B1020" t="s">
        <v>3497</v>
      </c>
      <c r="C1020" t="s">
        <v>3498</v>
      </c>
      <c r="D1020">
        <v>500</v>
      </c>
      <c r="E1020" t="s">
        <v>3474</v>
      </c>
      <c r="F1020" t="s">
        <v>3495</v>
      </c>
      <c r="H1020">
        <v>1995</v>
      </c>
      <c r="J1020">
        <v>532</v>
      </c>
      <c r="K1020">
        <v>515.79999999999995</v>
      </c>
      <c r="L1020">
        <v>8.1</v>
      </c>
      <c r="N1020" t="s">
        <v>3501</v>
      </c>
    </row>
    <row r="1021" spans="2:14">
      <c r="B1021" t="s">
        <v>3497</v>
      </c>
      <c r="C1021" t="s">
        <v>3498</v>
      </c>
      <c r="D1021">
        <v>600</v>
      </c>
      <c r="E1021" t="s">
        <v>3474</v>
      </c>
      <c r="F1021" t="s">
        <v>3495</v>
      </c>
      <c r="H1021">
        <v>1995</v>
      </c>
      <c r="J1021">
        <v>635</v>
      </c>
      <c r="K1021">
        <v>617.1</v>
      </c>
      <c r="L1021">
        <v>8.9499999999999993</v>
      </c>
      <c r="N1021" t="s">
        <v>3501</v>
      </c>
    </row>
    <row r="1022" spans="2:14">
      <c r="B1022" t="s">
        <v>3497</v>
      </c>
      <c r="C1022" t="s">
        <v>3498</v>
      </c>
      <c r="D1022">
        <v>700</v>
      </c>
      <c r="E1022" t="s">
        <v>3474</v>
      </c>
      <c r="F1022" t="s">
        <v>3495</v>
      </c>
      <c r="H1022">
        <v>1995</v>
      </c>
      <c r="J1022">
        <v>738</v>
      </c>
      <c r="K1022">
        <v>718.4</v>
      </c>
      <c r="L1022">
        <v>9.8000000000000007</v>
      </c>
      <c r="N1022" t="s">
        <v>3501</v>
      </c>
    </row>
    <row r="1023" spans="2:14">
      <c r="B1023" t="s">
        <v>3497</v>
      </c>
      <c r="C1023" t="s">
        <v>3498</v>
      </c>
      <c r="D1023">
        <v>800</v>
      </c>
      <c r="E1023" t="s">
        <v>3474</v>
      </c>
      <c r="F1023" t="s">
        <v>3495</v>
      </c>
      <c r="H1023">
        <v>1995</v>
      </c>
      <c r="J1023">
        <v>842</v>
      </c>
      <c r="K1023">
        <v>820.7</v>
      </c>
      <c r="L1023">
        <v>10.65</v>
      </c>
      <c r="N1023" t="s">
        <v>3501</v>
      </c>
    </row>
    <row r="1024" spans="2:14">
      <c r="B1024" t="s">
        <v>3497</v>
      </c>
      <c r="C1024" t="s">
        <v>3498</v>
      </c>
      <c r="D1024">
        <v>900</v>
      </c>
      <c r="E1024" t="s">
        <v>3474</v>
      </c>
      <c r="F1024" t="s">
        <v>3495</v>
      </c>
      <c r="H1024">
        <v>1995</v>
      </c>
      <c r="J1024">
        <v>945</v>
      </c>
      <c r="K1024">
        <v>922</v>
      </c>
      <c r="L1024">
        <v>11.5</v>
      </c>
      <c r="N1024" t="s">
        <v>3501</v>
      </c>
    </row>
    <row r="1025" spans="2:14">
      <c r="B1025" t="s">
        <v>3497</v>
      </c>
      <c r="C1025" t="s">
        <v>3498</v>
      </c>
      <c r="D1025">
        <v>1000</v>
      </c>
      <c r="E1025" t="s">
        <v>3474</v>
      </c>
      <c r="F1025" t="s">
        <v>3495</v>
      </c>
      <c r="H1025">
        <v>1995</v>
      </c>
      <c r="J1025">
        <v>1048</v>
      </c>
      <c r="K1025">
        <v>1023.3</v>
      </c>
      <c r="L1025">
        <v>12.35</v>
      </c>
      <c r="N1025" t="s">
        <v>3501</v>
      </c>
    </row>
    <row r="1026" spans="2:14">
      <c r="B1026" t="s">
        <v>3497</v>
      </c>
      <c r="C1026" t="s">
        <v>3498</v>
      </c>
      <c r="D1026">
        <v>1100</v>
      </c>
      <c r="E1026" t="s">
        <v>3474</v>
      </c>
      <c r="F1026" t="s">
        <v>3495</v>
      </c>
      <c r="H1026">
        <v>1995</v>
      </c>
      <c r="J1026">
        <v>1152</v>
      </c>
      <c r="K1026">
        <v>1125.5999999999999</v>
      </c>
      <c r="L1026">
        <v>13.2</v>
      </c>
      <c r="N1026" t="s">
        <v>3501</v>
      </c>
    </row>
    <row r="1027" spans="2:14">
      <c r="B1027" t="s">
        <v>3497</v>
      </c>
      <c r="C1027" t="s">
        <v>3498</v>
      </c>
      <c r="D1027">
        <v>1200</v>
      </c>
      <c r="E1027" t="s">
        <v>3474</v>
      </c>
      <c r="F1027" t="s">
        <v>3495</v>
      </c>
      <c r="H1027">
        <v>1995</v>
      </c>
      <c r="J1027">
        <v>1255</v>
      </c>
      <c r="K1027">
        <v>1226.9000000000001</v>
      </c>
      <c r="L1027">
        <v>14.05</v>
      </c>
      <c r="N1027" t="s">
        <v>3501</v>
      </c>
    </row>
    <row r="1028" spans="2:14">
      <c r="B1028" t="s">
        <v>3497</v>
      </c>
      <c r="C1028" t="s">
        <v>3498</v>
      </c>
      <c r="D1028">
        <v>1400</v>
      </c>
      <c r="E1028" t="s">
        <v>3474</v>
      </c>
      <c r="F1028" t="s">
        <v>3495</v>
      </c>
      <c r="H1028">
        <v>1995</v>
      </c>
      <c r="J1028">
        <v>1462</v>
      </c>
      <c r="K1028">
        <v>1430.5</v>
      </c>
      <c r="L1028">
        <v>15.75</v>
      </c>
      <c r="N1028" t="s">
        <v>3501</v>
      </c>
    </row>
    <row r="1029" spans="2:14">
      <c r="B1029" t="s">
        <v>3497</v>
      </c>
      <c r="C1029" t="s">
        <v>3498</v>
      </c>
      <c r="D1029">
        <v>1500</v>
      </c>
      <c r="E1029" t="s">
        <v>3474</v>
      </c>
      <c r="F1029" t="s">
        <v>3495</v>
      </c>
      <c r="H1029">
        <v>1995</v>
      </c>
      <c r="J1029">
        <v>1565</v>
      </c>
      <c r="K1029">
        <v>1531.8</v>
      </c>
      <c r="L1029">
        <v>16.600000000000001</v>
      </c>
      <c r="N1029" t="s">
        <v>3501</v>
      </c>
    </row>
    <row r="1030" spans="2:14">
      <c r="B1030" t="s">
        <v>3497</v>
      </c>
      <c r="C1030" t="s">
        <v>3498</v>
      </c>
      <c r="D1030">
        <v>1600</v>
      </c>
      <c r="E1030" t="s">
        <v>3474</v>
      </c>
      <c r="F1030" t="s">
        <v>3495</v>
      </c>
      <c r="H1030">
        <v>1995</v>
      </c>
      <c r="J1030">
        <v>1668</v>
      </c>
      <c r="K1030">
        <v>1633.1</v>
      </c>
      <c r="L1030">
        <v>17.45</v>
      </c>
      <c r="N1030" t="s">
        <v>3501</v>
      </c>
    </row>
    <row r="1031" spans="2:14">
      <c r="B1031" t="s">
        <v>3497</v>
      </c>
      <c r="C1031" t="s">
        <v>3498</v>
      </c>
      <c r="D1031">
        <v>1800</v>
      </c>
      <c r="E1031" t="s">
        <v>3474</v>
      </c>
      <c r="F1031" t="s">
        <v>3495</v>
      </c>
      <c r="H1031">
        <v>1995</v>
      </c>
      <c r="J1031">
        <v>1875</v>
      </c>
      <c r="K1031">
        <v>1836.7</v>
      </c>
      <c r="L1031">
        <v>19.149999999999999</v>
      </c>
      <c r="N1031" t="s">
        <v>3501</v>
      </c>
    </row>
    <row r="1032" spans="2:14">
      <c r="B1032" t="s">
        <v>3497</v>
      </c>
      <c r="C1032" t="s">
        <v>3498</v>
      </c>
      <c r="D1032">
        <v>2000</v>
      </c>
      <c r="E1032" t="s">
        <v>3474</v>
      </c>
      <c r="F1032" t="s">
        <v>3495</v>
      </c>
      <c r="H1032">
        <v>1995</v>
      </c>
      <c r="J1032">
        <v>2082</v>
      </c>
      <c r="K1032">
        <v>2040.3</v>
      </c>
      <c r="L1032">
        <v>20.85</v>
      </c>
      <c r="N1032" t="s">
        <v>3501</v>
      </c>
    </row>
    <row r="1033" spans="2:14">
      <c r="B1033" t="s">
        <v>3497</v>
      </c>
      <c r="C1033" t="s">
        <v>3498</v>
      </c>
      <c r="D1033">
        <v>40</v>
      </c>
      <c r="E1033" t="s">
        <v>3474</v>
      </c>
      <c r="F1033" t="s">
        <v>3496</v>
      </c>
      <c r="H1033">
        <v>1995</v>
      </c>
      <c r="J1033">
        <v>56</v>
      </c>
      <c r="K1033">
        <v>45.3</v>
      </c>
      <c r="L1033">
        <v>5.35</v>
      </c>
      <c r="N1033" t="s">
        <v>3501</v>
      </c>
    </row>
    <row r="1034" spans="2:14">
      <c r="B1034" t="s">
        <v>3497</v>
      </c>
      <c r="C1034" t="s">
        <v>3498</v>
      </c>
      <c r="D1034">
        <v>50</v>
      </c>
      <c r="E1034" t="s">
        <v>3474</v>
      </c>
      <c r="F1034" t="s">
        <v>3496</v>
      </c>
      <c r="H1034">
        <v>1995</v>
      </c>
      <c r="J1034">
        <v>66</v>
      </c>
      <c r="K1034">
        <v>55.3</v>
      </c>
      <c r="L1034">
        <v>5.35</v>
      </c>
      <c r="N1034" t="s">
        <v>3501</v>
      </c>
    </row>
    <row r="1035" spans="2:14">
      <c r="B1035" t="s">
        <v>3497</v>
      </c>
      <c r="C1035" t="s">
        <v>3498</v>
      </c>
      <c r="D1035">
        <v>60</v>
      </c>
      <c r="E1035" t="s">
        <v>3474</v>
      </c>
      <c r="F1035" t="s">
        <v>3496</v>
      </c>
      <c r="H1035">
        <v>1995</v>
      </c>
      <c r="J1035">
        <v>77</v>
      </c>
      <c r="K1035">
        <v>66.3</v>
      </c>
      <c r="L1035">
        <v>5.35</v>
      </c>
      <c r="N1035" t="s">
        <v>3501</v>
      </c>
    </row>
    <row r="1036" spans="2:14">
      <c r="B1036" t="s">
        <v>3497</v>
      </c>
      <c r="C1036" t="s">
        <v>3498</v>
      </c>
      <c r="D1036">
        <v>65</v>
      </c>
      <c r="E1036" t="s">
        <v>3474</v>
      </c>
      <c r="F1036" t="s">
        <v>3496</v>
      </c>
      <c r="H1036">
        <v>1995</v>
      </c>
      <c r="J1036">
        <v>82</v>
      </c>
      <c r="K1036">
        <v>71.3</v>
      </c>
      <c r="L1036">
        <v>5.35</v>
      </c>
      <c r="N1036" t="s">
        <v>3501</v>
      </c>
    </row>
    <row r="1037" spans="2:14">
      <c r="B1037" t="s">
        <v>3497</v>
      </c>
      <c r="C1037" t="s">
        <v>3498</v>
      </c>
      <c r="D1037">
        <v>80</v>
      </c>
      <c r="E1037" t="s">
        <v>3474</v>
      </c>
      <c r="F1037" t="s">
        <v>3496</v>
      </c>
      <c r="H1037">
        <v>1995</v>
      </c>
      <c r="J1037">
        <v>98</v>
      </c>
      <c r="K1037">
        <v>87.3</v>
      </c>
      <c r="L1037">
        <v>5.35</v>
      </c>
      <c r="N1037" t="s">
        <v>3501</v>
      </c>
    </row>
    <row r="1038" spans="2:14">
      <c r="B1038" t="s">
        <v>3497</v>
      </c>
      <c r="C1038" t="s">
        <v>3498</v>
      </c>
      <c r="D1038">
        <v>100</v>
      </c>
      <c r="E1038" t="s">
        <v>3474</v>
      </c>
      <c r="F1038" t="s">
        <v>3496</v>
      </c>
      <c r="H1038">
        <v>1995</v>
      </c>
      <c r="J1038">
        <v>118</v>
      </c>
      <c r="K1038">
        <v>107.3</v>
      </c>
      <c r="L1038">
        <v>5.35</v>
      </c>
      <c r="N1038" t="s">
        <v>3501</v>
      </c>
    </row>
    <row r="1039" spans="2:14">
      <c r="B1039" t="s">
        <v>3497</v>
      </c>
      <c r="C1039" t="s">
        <v>3498</v>
      </c>
      <c r="D1039">
        <v>125</v>
      </c>
      <c r="E1039" t="s">
        <v>3474</v>
      </c>
      <c r="F1039" t="s">
        <v>3496</v>
      </c>
      <c r="H1039">
        <v>1995</v>
      </c>
      <c r="J1039">
        <v>144</v>
      </c>
      <c r="K1039">
        <v>133</v>
      </c>
      <c r="L1039">
        <v>5.5</v>
      </c>
      <c r="N1039" t="s">
        <v>3501</v>
      </c>
    </row>
    <row r="1040" spans="2:14">
      <c r="B1040" t="s">
        <v>3497</v>
      </c>
      <c r="C1040" t="s">
        <v>3498</v>
      </c>
      <c r="D1040">
        <v>150</v>
      </c>
      <c r="E1040" t="s">
        <v>3474</v>
      </c>
      <c r="F1040" t="s">
        <v>3496</v>
      </c>
      <c r="H1040">
        <v>1995</v>
      </c>
      <c r="J1040">
        <v>170</v>
      </c>
      <c r="K1040">
        <v>158.5</v>
      </c>
      <c r="L1040">
        <v>5.75</v>
      </c>
      <c r="N1040" t="s">
        <v>3501</v>
      </c>
    </row>
    <row r="1041" spans="2:14">
      <c r="B1041" t="s">
        <v>3497</v>
      </c>
      <c r="C1041" t="s">
        <v>3498</v>
      </c>
      <c r="D1041">
        <v>200</v>
      </c>
      <c r="E1041" t="s">
        <v>3474</v>
      </c>
      <c r="F1041" t="s">
        <v>3496</v>
      </c>
      <c r="H1041">
        <v>1995</v>
      </c>
      <c r="J1041">
        <v>222</v>
      </c>
      <c r="K1041">
        <v>209.5</v>
      </c>
      <c r="L1041">
        <v>6.25</v>
      </c>
      <c r="N1041" t="s">
        <v>3501</v>
      </c>
    </row>
    <row r="1042" spans="2:14">
      <c r="B1042" t="s">
        <v>3497</v>
      </c>
      <c r="C1042" t="s">
        <v>3498</v>
      </c>
      <c r="D1042">
        <v>250</v>
      </c>
      <c r="E1042" t="s">
        <v>3474</v>
      </c>
      <c r="F1042" t="s">
        <v>3496</v>
      </c>
      <c r="H1042">
        <v>1995</v>
      </c>
      <c r="J1042">
        <v>274</v>
      </c>
      <c r="K1042">
        <v>260.60000000000002</v>
      </c>
      <c r="L1042">
        <v>6.7</v>
      </c>
      <c r="N1042" t="s">
        <v>3501</v>
      </c>
    </row>
    <row r="1043" spans="2:14">
      <c r="B1043" t="s">
        <v>3497</v>
      </c>
      <c r="C1043" t="s">
        <v>3498</v>
      </c>
      <c r="D1043">
        <v>300</v>
      </c>
      <c r="E1043" t="s">
        <v>3474</v>
      </c>
      <c r="F1043" t="s">
        <v>3496</v>
      </c>
      <c r="H1043">
        <v>1995</v>
      </c>
      <c r="J1043">
        <v>326</v>
      </c>
      <c r="K1043">
        <v>311.60000000000002</v>
      </c>
      <c r="L1043">
        <v>7.2</v>
      </c>
      <c r="N1043" t="s">
        <v>3501</v>
      </c>
    </row>
    <row r="1044" spans="2:14">
      <c r="B1044" t="s">
        <v>3497</v>
      </c>
      <c r="C1044" t="s">
        <v>3498</v>
      </c>
      <c r="D1044">
        <v>350</v>
      </c>
      <c r="E1044" t="s">
        <v>3474</v>
      </c>
      <c r="F1044" t="s">
        <v>3496</v>
      </c>
      <c r="H1044">
        <v>1995</v>
      </c>
      <c r="J1044">
        <v>378</v>
      </c>
      <c r="K1044">
        <v>362.7</v>
      </c>
      <c r="L1044">
        <v>7.65</v>
      </c>
      <c r="N1044" t="s">
        <v>3501</v>
      </c>
    </row>
    <row r="1045" spans="2:14">
      <c r="B1045" t="s">
        <v>3497</v>
      </c>
      <c r="C1045" t="s">
        <v>3498</v>
      </c>
      <c r="D1045">
        <v>400</v>
      </c>
      <c r="E1045" t="s">
        <v>3474</v>
      </c>
      <c r="F1045" t="s">
        <v>3496</v>
      </c>
      <c r="H1045">
        <v>1995</v>
      </c>
      <c r="J1045">
        <v>429</v>
      </c>
      <c r="K1045">
        <v>412.7</v>
      </c>
      <c r="L1045">
        <v>8.15</v>
      </c>
      <c r="N1045" t="s">
        <v>3501</v>
      </c>
    </row>
    <row r="1046" spans="2:14">
      <c r="B1046" t="s">
        <v>3497</v>
      </c>
      <c r="C1046" t="s">
        <v>3498</v>
      </c>
      <c r="D1046">
        <v>450</v>
      </c>
      <c r="E1046" t="s">
        <v>3474</v>
      </c>
      <c r="F1046" t="s">
        <v>3496</v>
      </c>
      <c r="H1046">
        <v>1995</v>
      </c>
      <c r="J1046">
        <v>480</v>
      </c>
      <c r="K1046">
        <v>462.8</v>
      </c>
      <c r="L1046">
        <v>8.6</v>
      </c>
      <c r="N1046" t="s">
        <v>3501</v>
      </c>
    </row>
    <row r="1047" spans="2:14">
      <c r="B1047" t="s">
        <v>3497</v>
      </c>
      <c r="C1047" t="s">
        <v>3498</v>
      </c>
      <c r="D1047">
        <v>500</v>
      </c>
      <c r="E1047" t="s">
        <v>3474</v>
      </c>
      <c r="F1047" t="s">
        <v>3496</v>
      </c>
      <c r="H1047">
        <v>1995</v>
      </c>
      <c r="J1047">
        <v>532</v>
      </c>
      <c r="K1047">
        <v>513.79999999999995</v>
      </c>
      <c r="L1047">
        <v>9.1</v>
      </c>
      <c r="N1047" t="s">
        <v>3501</v>
      </c>
    </row>
    <row r="1048" spans="2:14">
      <c r="B1048" t="s">
        <v>3497</v>
      </c>
      <c r="C1048" t="s">
        <v>3498</v>
      </c>
      <c r="D1048">
        <v>600</v>
      </c>
      <c r="E1048" t="s">
        <v>3474</v>
      </c>
      <c r="F1048" t="s">
        <v>3496</v>
      </c>
      <c r="H1048">
        <v>1995</v>
      </c>
      <c r="J1048">
        <v>635</v>
      </c>
      <c r="K1048">
        <v>614.9</v>
      </c>
      <c r="L1048">
        <v>10.050000000000001</v>
      </c>
      <c r="N1048" t="s">
        <v>3501</v>
      </c>
    </row>
    <row r="1049" spans="2:14">
      <c r="B1049" t="s">
        <v>3497</v>
      </c>
      <c r="C1049" t="s">
        <v>3498</v>
      </c>
      <c r="D1049">
        <v>700</v>
      </c>
      <c r="E1049" t="s">
        <v>3474</v>
      </c>
      <c r="F1049" t="s">
        <v>3496</v>
      </c>
      <c r="H1049">
        <v>1995</v>
      </c>
      <c r="J1049">
        <v>738</v>
      </c>
      <c r="K1049">
        <v>716</v>
      </c>
      <c r="L1049">
        <v>11</v>
      </c>
      <c r="N1049" t="s">
        <v>3501</v>
      </c>
    </row>
    <row r="1050" spans="2:14">
      <c r="B1050" t="s">
        <v>3497</v>
      </c>
      <c r="C1050" t="s">
        <v>3498</v>
      </c>
      <c r="D1050">
        <v>800</v>
      </c>
      <c r="E1050" t="s">
        <v>3474</v>
      </c>
      <c r="F1050" t="s">
        <v>3496</v>
      </c>
      <c r="H1050">
        <v>1995</v>
      </c>
      <c r="J1050">
        <v>842</v>
      </c>
      <c r="K1050">
        <v>818.1</v>
      </c>
      <c r="L1050">
        <v>11.95</v>
      </c>
      <c r="N1050" t="s">
        <v>3501</v>
      </c>
    </row>
    <row r="1051" spans="2:14">
      <c r="B1051" t="s">
        <v>3497</v>
      </c>
      <c r="C1051" t="s">
        <v>3498</v>
      </c>
      <c r="D1051">
        <v>900</v>
      </c>
      <c r="E1051" t="s">
        <v>3474</v>
      </c>
      <c r="F1051" t="s">
        <v>3496</v>
      </c>
      <c r="H1051">
        <v>1995</v>
      </c>
      <c r="J1051">
        <v>945</v>
      </c>
      <c r="K1051">
        <v>919.2</v>
      </c>
      <c r="L1051">
        <v>12.9</v>
      </c>
      <c r="N1051" t="s">
        <v>3501</v>
      </c>
    </row>
    <row r="1052" spans="2:14">
      <c r="B1052" t="s">
        <v>3497</v>
      </c>
      <c r="C1052" t="s">
        <v>3498</v>
      </c>
      <c r="D1052">
        <v>1000</v>
      </c>
      <c r="E1052" t="s">
        <v>3474</v>
      </c>
      <c r="F1052" t="s">
        <v>3496</v>
      </c>
      <c r="H1052">
        <v>1995</v>
      </c>
      <c r="J1052">
        <v>1048</v>
      </c>
      <c r="K1052">
        <v>1020.3</v>
      </c>
      <c r="L1052">
        <v>13.85</v>
      </c>
      <c r="N1052" t="s">
        <v>3501</v>
      </c>
    </row>
    <row r="1053" spans="2:14">
      <c r="B1053" t="s">
        <v>3497</v>
      </c>
      <c r="C1053" t="s">
        <v>3498</v>
      </c>
      <c r="D1053">
        <v>1100</v>
      </c>
      <c r="E1053" t="s">
        <v>3474</v>
      </c>
      <c r="F1053" t="s">
        <v>3496</v>
      </c>
      <c r="H1053">
        <v>1995</v>
      </c>
      <c r="J1053">
        <v>1152</v>
      </c>
      <c r="K1053">
        <v>1122.4000000000001</v>
      </c>
      <c r="L1053">
        <v>14.8</v>
      </c>
      <c r="N1053" t="s">
        <v>3501</v>
      </c>
    </row>
    <row r="1054" spans="2:14">
      <c r="B1054" t="s">
        <v>3497</v>
      </c>
      <c r="C1054" t="s">
        <v>3498</v>
      </c>
      <c r="D1054">
        <v>1200</v>
      </c>
      <c r="E1054" t="s">
        <v>3474</v>
      </c>
      <c r="F1054" t="s">
        <v>3496</v>
      </c>
      <c r="H1054">
        <v>1995</v>
      </c>
      <c r="J1054">
        <v>1255</v>
      </c>
      <c r="K1054">
        <v>1223.5</v>
      </c>
      <c r="L1054">
        <v>15.75</v>
      </c>
      <c r="N1054" t="s">
        <v>3501</v>
      </c>
    </row>
    <row r="1055" spans="2:14">
      <c r="B1055" t="s">
        <v>3497</v>
      </c>
      <c r="C1055" t="s">
        <v>3498</v>
      </c>
      <c r="D1055">
        <v>1400</v>
      </c>
      <c r="E1055" t="s">
        <v>3474</v>
      </c>
      <c r="F1055" t="s">
        <v>3496</v>
      </c>
      <c r="H1055">
        <v>1995</v>
      </c>
      <c r="J1055">
        <v>1462</v>
      </c>
      <c r="K1055">
        <v>1426.7</v>
      </c>
      <c r="L1055">
        <v>17.649999999999999</v>
      </c>
      <c r="N1055" t="s">
        <v>3501</v>
      </c>
    </row>
    <row r="1056" spans="2:14">
      <c r="B1056" t="s">
        <v>3497</v>
      </c>
      <c r="C1056" t="s">
        <v>3498</v>
      </c>
      <c r="D1056">
        <v>1500</v>
      </c>
      <c r="E1056" t="s">
        <v>3474</v>
      </c>
      <c r="F1056" t="s">
        <v>3496</v>
      </c>
      <c r="H1056">
        <v>1995</v>
      </c>
      <c r="J1056">
        <v>1565</v>
      </c>
      <c r="K1056">
        <v>1527.8</v>
      </c>
      <c r="L1056">
        <v>18.600000000000001</v>
      </c>
      <c r="N1056" t="s">
        <v>3501</v>
      </c>
    </row>
    <row r="1057" spans="1:14">
      <c r="B1057" t="s">
        <v>3497</v>
      </c>
      <c r="C1057" t="s">
        <v>3498</v>
      </c>
      <c r="D1057">
        <v>1600</v>
      </c>
      <c r="E1057" t="s">
        <v>3474</v>
      </c>
      <c r="F1057" t="s">
        <v>3496</v>
      </c>
      <c r="H1057">
        <v>1995</v>
      </c>
      <c r="J1057">
        <v>1668</v>
      </c>
      <c r="K1057">
        <v>1628.9</v>
      </c>
      <c r="L1057">
        <v>19.55</v>
      </c>
      <c r="N1057" t="s">
        <v>3501</v>
      </c>
    </row>
    <row r="1058" spans="1:14">
      <c r="B1058" t="s">
        <v>3497</v>
      </c>
      <c r="C1058" t="s">
        <v>3498</v>
      </c>
      <c r="D1058">
        <v>1800</v>
      </c>
      <c r="E1058" t="s">
        <v>3474</v>
      </c>
      <c r="F1058" t="s">
        <v>3496</v>
      </c>
      <c r="H1058">
        <v>1995</v>
      </c>
      <c r="J1058">
        <v>1875</v>
      </c>
      <c r="K1058">
        <v>1832.1</v>
      </c>
      <c r="L1058">
        <v>21.45</v>
      </c>
      <c r="N1058" t="s">
        <v>3501</v>
      </c>
    </row>
    <row r="1059" spans="1:14">
      <c r="B1059" t="s">
        <v>3497</v>
      </c>
      <c r="C1059" t="s">
        <v>3498</v>
      </c>
      <c r="D1059">
        <v>2000</v>
      </c>
      <c r="E1059" t="s">
        <v>3474</v>
      </c>
      <c r="F1059" t="s">
        <v>3496</v>
      </c>
      <c r="H1059">
        <v>1995</v>
      </c>
      <c r="J1059">
        <v>2082</v>
      </c>
      <c r="K1059">
        <v>2035.3</v>
      </c>
      <c r="L1059">
        <v>23.35</v>
      </c>
      <c r="N1059" t="s">
        <v>3501</v>
      </c>
    </row>
    <row r="1062" spans="1:14">
      <c r="A1062" t="s">
        <v>3502</v>
      </c>
    </row>
    <row r="1063" spans="1:14">
      <c r="A1063" t="s">
        <v>3503</v>
      </c>
    </row>
    <row r="1065" spans="1:14">
      <c r="A1065" t="s">
        <v>5</v>
      </c>
    </row>
    <row r="1066" spans="1:14">
      <c r="B1066" t="s">
        <v>3504</v>
      </c>
      <c r="C1066" t="s">
        <v>3505</v>
      </c>
      <c r="D1066" t="s">
        <v>3506</v>
      </c>
    </row>
    <row r="1067" spans="1:14">
      <c r="B1067">
        <v>2</v>
      </c>
      <c r="C1067">
        <v>2.4</v>
      </c>
      <c r="D1067">
        <v>0.11</v>
      </c>
    </row>
    <row r="1068" spans="1:14">
      <c r="B1068">
        <v>2.5</v>
      </c>
      <c r="C1068">
        <v>3</v>
      </c>
      <c r="D1068">
        <v>0.13</v>
      </c>
    </row>
    <row r="1069" spans="1:14">
      <c r="B1069">
        <v>3</v>
      </c>
      <c r="C1069">
        <v>3.5</v>
      </c>
      <c r="D1069">
        <v>0.13</v>
      </c>
    </row>
    <row r="1070" spans="1:14">
      <c r="B1070">
        <v>3.5</v>
      </c>
      <c r="C1070">
        <v>4</v>
      </c>
    </row>
    <row r="1071" spans="1:14">
      <c r="B1071">
        <v>4</v>
      </c>
      <c r="C1071">
        <v>4.5</v>
      </c>
      <c r="D1071">
        <v>0.14000000000000001</v>
      </c>
    </row>
    <row r="1072" spans="1:14">
      <c r="B1072">
        <v>5</v>
      </c>
      <c r="C1072">
        <v>5.5</v>
      </c>
      <c r="D1072">
        <v>0.14000000000000001</v>
      </c>
    </row>
    <row r="1073" spans="2:4">
      <c r="B1073">
        <v>6</v>
      </c>
      <c r="C1073">
        <v>6.6</v>
      </c>
      <c r="D1073">
        <v>0.14000000000000001</v>
      </c>
    </row>
    <row r="1074" spans="2:4">
      <c r="B1074">
        <v>7</v>
      </c>
      <c r="C1074">
        <v>7.6</v>
      </c>
      <c r="D1074">
        <v>0.16</v>
      </c>
    </row>
    <row r="1075" spans="2:4">
      <c r="B1075">
        <v>8</v>
      </c>
      <c r="C1075">
        <v>8.6</v>
      </c>
      <c r="D1075">
        <v>0.16</v>
      </c>
    </row>
    <row r="1076" spans="2:4">
      <c r="B1076">
        <v>9</v>
      </c>
      <c r="C1076">
        <v>9.6</v>
      </c>
      <c r="D1076">
        <v>0.16</v>
      </c>
    </row>
    <row r="1077" spans="2:4">
      <c r="B1077">
        <v>10</v>
      </c>
      <c r="C1077">
        <v>10.7</v>
      </c>
      <c r="D1077">
        <v>0.16</v>
      </c>
    </row>
    <row r="1078" spans="2:4">
      <c r="B1078">
        <v>11</v>
      </c>
      <c r="C1078">
        <v>11.8</v>
      </c>
    </row>
    <row r="1079" spans="2:4">
      <c r="B1079">
        <v>12</v>
      </c>
      <c r="C1079">
        <v>12.8</v>
      </c>
      <c r="D1079">
        <v>0.16</v>
      </c>
    </row>
    <row r="1080" spans="2:4">
      <c r="B1080">
        <v>14</v>
      </c>
      <c r="C1080">
        <v>14</v>
      </c>
      <c r="D1080">
        <v>0.18</v>
      </c>
    </row>
    <row r="1081" spans="2:4">
      <c r="B1081">
        <v>16</v>
      </c>
      <c r="C1081">
        <v>16</v>
      </c>
      <c r="D1081">
        <v>0.18</v>
      </c>
    </row>
    <row r="1082" spans="2:4">
      <c r="B1082">
        <v>18</v>
      </c>
      <c r="C1082">
        <v>18</v>
      </c>
      <c r="D1082">
        <v>0.2</v>
      </c>
    </row>
    <row r="1083" spans="2:4">
      <c r="B1083">
        <v>20</v>
      </c>
      <c r="C1083">
        <v>20</v>
      </c>
      <c r="D1083">
        <v>0.2</v>
      </c>
    </row>
    <row r="1084" spans="2:4">
      <c r="B1084">
        <v>22</v>
      </c>
      <c r="C1084">
        <v>22</v>
      </c>
      <c r="D1084">
        <v>0.25</v>
      </c>
    </row>
    <row r="1085" spans="2:4">
      <c r="B1085">
        <v>24</v>
      </c>
      <c r="C1085">
        <v>24</v>
      </c>
      <c r="D1085">
        <v>0.25</v>
      </c>
    </row>
    <row r="1086" spans="2:4">
      <c r="B1086">
        <v>26</v>
      </c>
      <c r="C1086">
        <v>26</v>
      </c>
      <c r="D1086">
        <v>0.25</v>
      </c>
    </row>
    <row r="1087" spans="2:4">
      <c r="B1087">
        <v>28</v>
      </c>
      <c r="C1087">
        <v>28</v>
      </c>
      <c r="D1087">
        <v>0.25</v>
      </c>
    </row>
    <row r="1088" spans="2:4">
      <c r="B1088">
        <v>30</v>
      </c>
      <c r="C1088">
        <v>30</v>
      </c>
      <c r="D1088">
        <v>0.25</v>
      </c>
    </row>
    <row r="1089" spans="1:5">
      <c r="B1089">
        <v>32</v>
      </c>
      <c r="C1089">
        <v>32</v>
      </c>
      <c r="D1089">
        <v>0.28000000000000003</v>
      </c>
    </row>
    <row r="1090" spans="1:5">
      <c r="B1090">
        <v>34</v>
      </c>
      <c r="C1090">
        <v>34</v>
      </c>
      <c r="D1090">
        <v>0.28000000000000003</v>
      </c>
    </row>
    <row r="1091" spans="1:5">
      <c r="B1091">
        <v>36</v>
      </c>
      <c r="C1091">
        <v>36</v>
      </c>
      <c r="D1091">
        <v>0.28000000000000003</v>
      </c>
    </row>
    <row r="1092" spans="1:5">
      <c r="B1092">
        <v>40</v>
      </c>
      <c r="C1092">
        <v>40</v>
      </c>
      <c r="D1092">
        <v>0.28000000000000003</v>
      </c>
    </row>
    <row r="1095" spans="1:5">
      <c r="A1095" t="s">
        <v>3400</v>
      </c>
    </row>
    <row r="1096" spans="1:5">
      <c r="B1096" t="s">
        <v>3392</v>
      </c>
      <c r="C1096" t="s">
        <v>3507</v>
      </c>
      <c r="D1096" t="s">
        <v>3508</v>
      </c>
      <c r="E1096" t="s">
        <v>3509</v>
      </c>
    </row>
    <row r="1097" spans="1:5">
      <c r="C1097" t="s">
        <v>3510</v>
      </c>
      <c r="D1097" t="s">
        <v>3511</v>
      </c>
      <c r="E1097" t="s">
        <v>3511</v>
      </c>
    </row>
    <row r="1098" spans="1:5">
      <c r="B1098">
        <v>60.3</v>
      </c>
      <c r="C1098">
        <v>2.9</v>
      </c>
      <c r="D1098">
        <v>57.4</v>
      </c>
      <c r="E1098">
        <v>54.5</v>
      </c>
    </row>
    <row r="1099" spans="1:5">
      <c r="B1099">
        <v>76.099999999999994</v>
      </c>
      <c r="C1099">
        <v>3.2</v>
      </c>
      <c r="D1099">
        <v>72.900000000000006</v>
      </c>
      <c r="E1099">
        <v>69.699999999999989</v>
      </c>
    </row>
    <row r="1100" spans="1:5">
      <c r="B1100">
        <v>88.9</v>
      </c>
      <c r="C1100">
        <v>3.2</v>
      </c>
      <c r="D1100">
        <v>85.7</v>
      </c>
      <c r="E1100">
        <v>82.5</v>
      </c>
    </row>
    <row r="1101" spans="1:5">
      <c r="B1101">
        <v>114.3</v>
      </c>
      <c r="C1101">
        <v>3.6</v>
      </c>
      <c r="D1101">
        <v>110.7</v>
      </c>
      <c r="E1101">
        <v>107.1</v>
      </c>
    </row>
    <row r="1102" spans="1:5">
      <c r="B1102">
        <v>139.69999999999999</v>
      </c>
      <c r="C1102">
        <v>3.6</v>
      </c>
      <c r="D1102">
        <v>136.1</v>
      </c>
      <c r="E1102">
        <v>132.5</v>
      </c>
    </row>
    <row r="1103" spans="1:5">
      <c r="B1103">
        <v>168.3</v>
      </c>
      <c r="C1103">
        <v>3.6</v>
      </c>
      <c r="D1103">
        <v>164.7</v>
      </c>
      <c r="E1103">
        <v>161.1</v>
      </c>
    </row>
    <row r="1104" spans="1:5">
      <c r="B1104">
        <v>193.7</v>
      </c>
      <c r="C1104">
        <v>4</v>
      </c>
      <c r="D1104">
        <v>189.7</v>
      </c>
      <c r="E1104">
        <v>185.7</v>
      </c>
    </row>
    <row r="1105" spans="2:5">
      <c r="B1105">
        <v>219.1</v>
      </c>
      <c r="C1105">
        <v>4</v>
      </c>
      <c r="D1105">
        <v>215.1</v>
      </c>
      <c r="E1105">
        <v>211.1</v>
      </c>
    </row>
    <row r="1106" spans="2:5">
      <c r="B1106">
        <v>244.5</v>
      </c>
      <c r="C1106">
        <v>4</v>
      </c>
      <c r="D1106">
        <v>240.5</v>
      </c>
      <c r="E1106">
        <v>236.5</v>
      </c>
    </row>
    <row r="1107" spans="2:5">
      <c r="B1107">
        <v>273</v>
      </c>
      <c r="C1107">
        <v>4</v>
      </c>
      <c r="D1107">
        <v>269</v>
      </c>
      <c r="E1107">
        <v>265</v>
      </c>
    </row>
    <row r="1108" spans="2:5">
      <c r="B1108">
        <v>323.89999999999998</v>
      </c>
      <c r="C1108">
        <v>4</v>
      </c>
      <c r="D1108">
        <v>319.89999999999998</v>
      </c>
      <c r="E1108">
        <v>315.89999999999998</v>
      </c>
    </row>
    <row r="1109" spans="2:5">
      <c r="B1109">
        <v>355.6</v>
      </c>
      <c r="C1109">
        <v>4.5</v>
      </c>
      <c r="D1109">
        <v>351.1</v>
      </c>
      <c r="E1109">
        <v>346.6</v>
      </c>
    </row>
    <row r="1110" spans="2:5">
      <c r="B1110">
        <v>406.4</v>
      </c>
      <c r="C1110">
        <v>4.5</v>
      </c>
      <c r="D1110">
        <v>401.9</v>
      </c>
      <c r="E1110">
        <v>397.4</v>
      </c>
    </row>
    <row r="1111" spans="2:5">
      <c r="B1111">
        <v>457</v>
      </c>
      <c r="C1111">
        <v>5</v>
      </c>
      <c r="D1111">
        <v>452</v>
      </c>
      <c r="E1111">
        <v>447</v>
      </c>
    </row>
    <row r="1112" spans="2:5">
      <c r="B1112">
        <v>508</v>
      </c>
      <c r="C1112">
        <v>5</v>
      </c>
      <c r="D1112">
        <v>503</v>
      </c>
      <c r="E1112">
        <v>498</v>
      </c>
    </row>
    <row r="1113" spans="2:5">
      <c r="B1113">
        <v>559</v>
      </c>
      <c r="C1113">
        <v>6.3</v>
      </c>
      <c r="D1113">
        <v>552.70000000000005</v>
      </c>
      <c r="E1113">
        <v>546.4</v>
      </c>
    </row>
    <row r="1114" spans="2:5">
      <c r="B1114">
        <v>610</v>
      </c>
      <c r="C1114">
        <v>6.3</v>
      </c>
      <c r="D1114">
        <v>603.70000000000005</v>
      </c>
      <c r="E1114">
        <v>597.4</v>
      </c>
    </row>
    <row r="1115" spans="2:5">
      <c r="B1115">
        <v>660</v>
      </c>
      <c r="C1115">
        <v>6.3</v>
      </c>
      <c r="D1115">
        <v>653.70000000000005</v>
      </c>
      <c r="E1115">
        <v>647.4</v>
      </c>
    </row>
    <row r="1116" spans="2:5">
      <c r="B1116">
        <v>711</v>
      </c>
      <c r="C1116">
        <v>6.3</v>
      </c>
      <c r="D1116">
        <v>704.7</v>
      </c>
      <c r="E1116">
        <v>698.4</v>
      </c>
    </row>
    <row r="1117" spans="2:5">
      <c r="B1117">
        <v>762</v>
      </c>
      <c r="C1117">
        <v>6.3</v>
      </c>
      <c r="D1117">
        <v>755.7</v>
      </c>
      <c r="E1117">
        <v>749.4</v>
      </c>
    </row>
    <row r="1118" spans="2:5">
      <c r="B1118">
        <v>813</v>
      </c>
      <c r="C1118">
        <v>7.1</v>
      </c>
      <c r="D1118">
        <v>805.9</v>
      </c>
      <c r="E1118">
        <v>798.8</v>
      </c>
    </row>
    <row r="1119" spans="2:5">
      <c r="B1119">
        <v>864</v>
      </c>
      <c r="C1119">
        <v>7.1</v>
      </c>
      <c r="D1119">
        <v>856.9</v>
      </c>
      <c r="E1119">
        <v>849.8</v>
      </c>
    </row>
    <row r="1120" spans="2:5">
      <c r="B1120">
        <v>914</v>
      </c>
      <c r="C1120">
        <v>7.1</v>
      </c>
      <c r="D1120">
        <v>906.9</v>
      </c>
      <c r="E1120">
        <v>899.8</v>
      </c>
    </row>
    <row r="1121" spans="1:6">
      <c r="B1121">
        <v>1016</v>
      </c>
      <c r="C1121">
        <v>7.1</v>
      </c>
      <c r="D1121">
        <v>1008.9</v>
      </c>
      <c r="E1121">
        <v>1001.8</v>
      </c>
    </row>
    <row r="1122" spans="1:6">
      <c r="B1122">
        <v>1219</v>
      </c>
      <c r="C1122">
        <v>8</v>
      </c>
      <c r="D1122">
        <v>1211</v>
      </c>
      <c r="E1122">
        <v>1203</v>
      </c>
    </row>
    <row r="1123" spans="1:6">
      <c r="B1123">
        <v>1422</v>
      </c>
      <c r="C1123">
        <v>8.8000000000000007</v>
      </c>
      <c r="D1123">
        <v>1413.2</v>
      </c>
      <c r="E1123">
        <v>1404.4</v>
      </c>
    </row>
    <row r="1124" spans="1:6">
      <c r="B1124">
        <v>1626</v>
      </c>
      <c r="C1124">
        <v>10</v>
      </c>
      <c r="D1124">
        <v>1616</v>
      </c>
      <c r="E1124">
        <v>1606</v>
      </c>
    </row>
    <row r="1125" spans="1:6">
      <c r="B1125">
        <v>1829</v>
      </c>
      <c r="C1125">
        <v>11</v>
      </c>
      <c r="D1125">
        <v>1818</v>
      </c>
      <c r="E1125">
        <v>1807</v>
      </c>
    </row>
    <row r="1126" spans="1:6">
      <c r="B1126">
        <v>2032</v>
      </c>
      <c r="C1126">
        <v>12.5</v>
      </c>
      <c r="D1126">
        <v>2019.5</v>
      </c>
      <c r="E1126">
        <v>2007</v>
      </c>
    </row>
    <row r="1127" spans="1:6">
      <c r="B1127">
        <v>2235</v>
      </c>
      <c r="C1127">
        <v>14.2</v>
      </c>
      <c r="D1127">
        <v>2220.8000000000002</v>
      </c>
      <c r="E1127">
        <v>2206.6</v>
      </c>
    </row>
    <row r="1130" spans="1:6">
      <c r="A1130" t="s">
        <v>3512</v>
      </c>
    </row>
    <row r="1131" spans="1:6">
      <c r="A1131" t="s">
        <v>3513</v>
      </c>
    </row>
    <row r="1133" spans="1:6">
      <c r="A1133" t="s">
        <v>5</v>
      </c>
    </row>
    <row r="1134" spans="1:6">
      <c r="B1134" t="s">
        <v>3514</v>
      </c>
      <c r="C1134" t="s">
        <v>3514</v>
      </c>
      <c r="D1134" t="s">
        <v>3515</v>
      </c>
      <c r="E1134" t="s">
        <v>3516</v>
      </c>
    </row>
    <row r="1135" spans="1:6">
      <c r="E1135" t="s">
        <v>3511</v>
      </c>
      <c r="F1135" t="s">
        <v>3510</v>
      </c>
    </row>
    <row r="1136" spans="1:6">
      <c r="B1136" t="s">
        <v>3517</v>
      </c>
      <c r="C1136">
        <v>0.125</v>
      </c>
      <c r="D1136">
        <v>9.1999999999999998E-2</v>
      </c>
      <c r="E1136">
        <v>0.41199999999999998</v>
      </c>
      <c r="F1136">
        <v>0.38700000000000001</v>
      </c>
    </row>
    <row r="1137" spans="2:6">
      <c r="B1137" t="s">
        <v>3518</v>
      </c>
      <c r="C1137">
        <v>0.25</v>
      </c>
      <c r="D1137">
        <v>9.1999999999999998E-2</v>
      </c>
      <c r="E1137">
        <v>0.55000000000000004</v>
      </c>
      <c r="F1137">
        <v>0.52500000000000002</v>
      </c>
    </row>
    <row r="1138" spans="2:6">
      <c r="B1138" t="s">
        <v>3519</v>
      </c>
      <c r="C1138">
        <v>0.375</v>
      </c>
      <c r="D1138">
        <v>0.104</v>
      </c>
      <c r="E1138">
        <v>0.68799999999999994</v>
      </c>
      <c r="F1138">
        <v>0.66300000000000003</v>
      </c>
    </row>
    <row r="1139" spans="2:6">
      <c r="B1139" t="s">
        <v>3520</v>
      </c>
      <c r="C1139">
        <v>0.5</v>
      </c>
      <c r="D1139">
        <v>0.11600000000000001</v>
      </c>
      <c r="E1139">
        <v>0.85899999999999999</v>
      </c>
      <c r="F1139">
        <v>0.83399999999999996</v>
      </c>
    </row>
    <row r="1140" spans="2:6">
      <c r="B1140" t="s">
        <v>3521</v>
      </c>
      <c r="C1140">
        <v>0.75</v>
      </c>
      <c r="D1140">
        <v>0.128</v>
      </c>
      <c r="E1140">
        <v>1.075</v>
      </c>
      <c r="F1140">
        <v>1.05</v>
      </c>
    </row>
    <row r="1141" spans="2:6">
      <c r="B1141">
        <v>1</v>
      </c>
      <c r="C1141">
        <v>1</v>
      </c>
      <c r="D1141">
        <v>0.14399999999999999</v>
      </c>
      <c r="E1141">
        <v>1.351</v>
      </c>
      <c r="F1141">
        <v>1.32</v>
      </c>
    </row>
    <row r="1142" spans="2:6">
      <c r="B1142" t="s">
        <v>3522</v>
      </c>
      <c r="C1142">
        <v>1.25</v>
      </c>
      <c r="D1142">
        <v>0.16</v>
      </c>
      <c r="E1142">
        <v>1.6919999999999999</v>
      </c>
      <c r="F1142">
        <v>1.661</v>
      </c>
    </row>
    <row r="1143" spans="2:6">
      <c r="B1143" t="s">
        <v>3523</v>
      </c>
      <c r="C1143">
        <v>1.5</v>
      </c>
      <c r="D1143">
        <v>0.17599999999999999</v>
      </c>
      <c r="E1143">
        <v>1.9239999999999999</v>
      </c>
      <c r="F1143">
        <v>1.893</v>
      </c>
    </row>
    <row r="1144" spans="2:6">
      <c r="B1144">
        <v>2</v>
      </c>
      <c r="C1144">
        <v>2</v>
      </c>
      <c r="D1144">
        <v>0.17599999999999999</v>
      </c>
      <c r="E1144">
        <v>2.403</v>
      </c>
      <c r="F1144">
        <v>2.3580000000000001</v>
      </c>
    </row>
    <row r="1145" spans="2:6">
      <c r="B1145" t="s">
        <v>3524</v>
      </c>
      <c r="C1145">
        <v>2.5</v>
      </c>
      <c r="D1145">
        <v>0.192</v>
      </c>
      <c r="E1145">
        <v>3.0209999999999999</v>
      </c>
      <c r="F1145">
        <v>2.9710000000000001</v>
      </c>
    </row>
    <row r="1146" spans="2:6">
      <c r="B1146">
        <v>3</v>
      </c>
      <c r="C1146">
        <v>3</v>
      </c>
      <c r="D1146">
        <v>0.192</v>
      </c>
      <c r="E1146">
        <v>3.5259999999999998</v>
      </c>
      <c r="F1146">
        <v>3.4710000000000001</v>
      </c>
    </row>
    <row r="1147" spans="2:6">
      <c r="B1147" t="s">
        <v>3525</v>
      </c>
      <c r="C1147">
        <v>3.5</v>
      </c>
      <c r="D1147">
        <v>0.192</v>
      </c>
      <c r="E1147">
        <v>4.0209999999999999</v>
      </c>
      <c r="F1147">
        <v>3.9609999999999999</v>
      </c>
    </row>
    <row r="1148" spans="2:6">
      <c r="B1148">
        <v>4</v>
      </c>
      <c r="C1148">
        <v>4</v>
      </c>
      <c r="D1148">
        <v>0.192</v>
      </c>
      <c r="E1148">
        <v>4.5259999999999998</v>
      </c>
      <c r="F1148">
        <v>4.4610000000000003</v>
      </c>
    </row>
    <row r="1149" spans="2:6">
      <c r="B1149">
        <v>5</v>
      </c>
      <c r="C1149">
        <v>5</v>
      </c>
      <c r="D1149">
        <v>0.192</v>
      </c>
      <c r="E1149">
        <v>5.5359999999999996</v>
      </c>
      <c r="F1149">
        <v>5.4610000000000003</v>
      </c>
    </row>
    <row r="1150" spans="2:6">
      <c r="B1150">
        <v>6</v>
      </c>
      <c r="C1150">
        <v>6</v>
      </c>
      <c r="D1150">
        <v>0.192</v>
      </c>
      <c r="E1150">
        <v>6.5410000000000004</v>
      </c>
      <c r="F1150">
        <v>6.4610000000000003</v>
      </c>
    </row>
    <row r="1153" spans="1:6">
      <c r="A1153" t="s">
        <v>3526</v>
      </c>
    </row>
    <row r="1154" spans="1:6">
      <c r="A1154" t="s">
        <v>3527</v>
      </c>
    </row>
    <row r="1155" spans="1:6">
      <c r="A1155" t="s">
        <v>3466</v>
      </c>
    </row>
    <row r="1156" spans="1:6">
      <c r="B1156" t="s">
        <v>3514</v>
      </c>
      <c r="C1156" t="s">
        <v>3528</v>
      </c>
      <c r="D1156" t="s">
        <v>3529</v>
      </c>
      <c r="E1156" t="s">
        <v>3530</v>
      </c>
    </row>
    <row r="1157" spans="1:6">
      <c r="E1157" t="s">
        <v>3511</v>
      </c>
      <c r="F1157" t="s">
        <v>3510</v>
      </c>
    </row>
    <row r="1158" spans="1:6">
      <c r="B1158" t="s">
        <v>3518</v>
      </c>
      <c r="C1158">
        <v>8</v>
      </c>
      <c r="D1158">
        <v>2.2999999999999998</v>
      </c>
      <c r="E1158">
        <v>13.9</v>
      </c>
      <c r="F1158">
        <v>13.3</v>
      </c>
    </row>
    <row r="1159" spans="1:6">
      <c r="B1159" t="s">
        <v>3519</v>
      </c>
      <c r="C1159">
        <v>10</v>
      </c>
      <c r="D1159">
        <v>2.2999999999999998</v>
      </c>
      <c r="E1159">
        <v>17.399999999999999</v>
      </c>
      <c r="F1159">
        <v>16.8</v>
      </c>
    </row>
    <row r="1160" spans="1:6">
      <c r="B1160" t="s">
        <v>3520</v>
      </c>
      <c r="C1160">
        <v>15</v>
      </c>
      <c r="D1160">
        <v>2.6</v>
      </c>
      <c r="E1160">
        <v>21.7</v>
      </c>
      <c r="F1160">
        <v>21.1</v>
      </c>
    </row>
    <row r="1161" spans="1:6">
      <c r="B1161" t="s">
        <v>3521</v>
      </c>
      <c r="C1161">
        <v>20</v>
      </c>
      <c r="D1161">
        <v>2.6</v>
      </c>
      <c r="E1161">
        <v>27.2</v>
      </c>
      <c r="F1161">
        <v>26.6</v>
      </c>
    </row>
    <row r="1162" spans="1:6">
      <c r="B1162">
        <v>1</v>
      </c>
      <c r="C1162">
        <v>25</v>
      </c>
      <c r="D1162">
        <v>3.2</v>
      </c>
      <c r="E1162">
        <v>34.200000000000003</v>
      </c>
      <c r="F1162">
        <v>33.4</v>
      </c>
    </row>
    <row r="1163" spans="1:6">
      <c r="B1163" t="s">
        <v>3522</v>
      </c>
      <c r="C1163">
        <v>32</v>
      </c>
      <c r="D1163">
        <v>3.2</v>
      </c>
      <c r="E1163">
        <v>42.9</v>
      </c>
      <c r="F1163">
        <v>42.1</v>
      </c>
    </row>
    <row r="1164" spans="1:6">
      <c r="B1164" t="s">
        <v>3523</v>
      </c>
      <c r="C1164">
        <v>40</v>
      </c>
      <c r="D1164">
        <v>3.2</v>
      </c>
      <c r="E1164">
        <v>48.8</v>
      </c>
      <c r="F1164">
        <v>48</v>
      </c>
    </row>
    <row r="1165" spans="1:6">
      <c r="B1165">
        <v>2</v>
      </c>
      <c r="C1165">
        <v>50</v>
      </c>
      <c r="D1165">
        <v>3.6</v>
      </c>
      <c r="E1165">
        <v>60.8</v>
      </c>
      <c r="F1165">
        <v>59.8</v>
      </c>
    </row>
    <row r="1166" spans="1:6">
      <c r="B1166" t="s">
        <v>3524</v>
      </c>
      <c r="C1166">
        <v>65</v>
      </c>
      <c r="D1166">
        <v>3.6</v>
      </c>
      <c r="E1166">
        <v>76.599999999999994</v>
      </c>
      <c r="F1166">
        <v>75.400000000000006</v>
      </c>
    </row>
    <row r="1167" spans="1:6">
      <c r="B1167">
        <v>3</v>
      </c>
      <c r="C1167">
        <v>80</v>
      </c>
      <c r="D1167">
        <v>4</v>
      </c>
      <c r="E1167">
        <v>89.5</v>
      </c>
      <c r="F1167">
        <v>88.1</v>
      </c>
    </row>
    <row r="1168" spans="1:6">
      <c r="B1168">
        <v>4</v>
      </c>
      <c r="C1168">
        <v>100</v>
      </c>
      <c r="D1168">
        <v>4.5</v>
      </c>
      <c r="E1168">
        <v>114.9</v>
      </c>
      <c r="F1168">
        <v>113.3</v>
      </c>
    </row>
    <row r="1169" spans="2:6">
      <c r="B1169">
        <v>5</v>
      </c>
      <c r="C1169">
        <v>125</v>
      </c>
      <c r="D1169">
        <v>5</v>
      </c>
      <c r="E1169">
        <v>140.6</v>
      </c>
      <c r="F1169">
        <v>138.69999999999999</v>
      </c>
    </row>
    <row r="1170" spans="2:6">
      <c r="B1170">
        <v>6</v>
      </c>
      <c r="C1170">
        <v>150</v>
      </c>
      <c r="D1170">
        <v>5</v>
      </c>
      <c r="E1170">
        <v>166.1</v>
      </c>
      <c r="F1170">
        <v>164.1</v>
      </c>
    </row>
  </sheetData>
  <sheetProtection password="FE3F" sheet="1" objects="1" scenarios="1" formatRows="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8"/>
  <sheetViews>
    <sheetView workbookViewId="0"/>
  </sheetViews>
  <sheetFormatPr defaultRowHeight="14.25"/>
  <cols>
    <col min="1" max="1" width="24" customWidth="1"/>
    <col min="2" max="2" width="68" customWidth="1"/>
    <col min="3" max="3" width="14" customWidth="1"/>
    <col min="4" max="4" width="34" customWidth="1"/>
    <col min="5" max="5" width="18" customWidth="1"/>
  </cols>
  <sheetData>
    <row r="1" spans="1:5">
      <c r="A1" s="154" t="s">
        <v>3531</v>
      </c>
      <c r="B1" s="120"/>
      <c r="C1" s="120"/>
      <c r="D1" s="120"/>
    </row>
    <row r="2" spans="1:5" ht="15">
      <c r="A2" s="1"/>
      <c r="B2" s="1"/>
      <c r="C2" s="1"/>
      <c r="D2" s="22" t="s">
        <v>3532</v>
      </c>
      <c r="E2" s="22" t="s">
        <v>2139</v>
      </c>
    </row>
    <row r="3" spans="1:5" ht="15">
      <c r="A3" s="5" t="s">
        <v>3533</v>
      </c>
      <c r="B3" s="5" t="s">
        <v>3534</v>
      </c>
      <c r="C3" s="1"/>
      <c r="D3" s="1" t="s">
        <v>3535</v>
      </c>
      <c r="E3" s="1">
        <v>1000</v>
      </c>
    </row>
    <row r="4" spans="1:5" ht="15">
      <c r="A4" s="14" t="s">
        <v>3536</v>
      </c>
      <c r="B4" s="115" t="str">
        <f>Dashboard!B2</f>
        <v>Metric</v>
      </c>
      <c r="C4" s="1"/>
      <c r="D4" s="1" t="s">
        <v>3537</v>
      </c>
      <c r="E4" s="1">
        <v>1609.3440000000001</v>
      </c>
    </row>
    <row r="5" spans="1:5" ht="27.4" customHeight="1">
      <c r="A5" s="13" t="s">
        <v>3538</v>
      </c>
      <c r="B5" s="1" t="s">
        <v>3539</v>
      </c>
      <c r="C5" s="1"/>
      <c r="D5" s="1" t="s">
        <v>3540</v>
      </c>
      <c r="E5" s="1">
        <v>25.4</v>
      </c>
    </row>
    <row r="6" spans="1:5" ht="15">
      <c r="A6" s="13" t="s">
        <v>3541</v>
      </c>
      <c r="B6" s="1" t="s">
        <v>3542</v>
      </c>
      <c r="C6" s="1"/>
      <c r="D6" s="1" t="s">
        <v>3543</v>
      </c>
      <c r="E6" s="1">
        <v>6894.7572931679997</v>
      </c>
    </row>
    <row r="7" spans="1:5" ht="54.75" customHeight="1">
      <c r="A7" s="1" t="s">
        <v>3544</v>
      </c>
      <c r="B7" s="1" t="s">
        <v>3545</v>
      </c>
      <c r="C7" s="1"/>
      <c r="D7" s="1" t="s">
        <v>3546</v>
      </c>
      <c r="E7" s="116">
        <f>E6/('Assumptions &amp; Method'!$B$5*'Assumptions &amp; Method'!$B$6)</f>
        <v>0.70433738693560644</v>
      </c>
    </row>
    <row r="8" spans="1:5" ht="27.4" customHeight="1">
      <c r="A8" s="18" t="s">
        <v>3547</v>
      </c>
      <c r="B8" s="18"/>
      <c r="C8" s="1"/>
      <c r="D8" s="1" t="s">
        <v>3548</v>
      </c>
      <c r="E8" s="1">
        <v>1.6093440000000001</v>
      </c>
    </row>
    <row r="9" spans="1:5" ht="15">
      <c r="A9" s="13" t="s">
        <v>3549</v>
      </c>
      <c r="B9" s="1" t="s">
        <v>3550</v>
      </c>
      <c r="C9" s="1"/>
      <c r="D9" s="1"/>
    </row>
    <row r="10" spans="1:5" ht="27.4" customHeight="1">
      <c r="A10" s="13" t="s">
        <v>2670</v>
      </c>
      <c r="B10" s="1" t="s">
        <v>3551</v>
      </c>
      <c r="C10" s="1"/>
      <c r="D10" s="1"/>
    </row>
    <row r="11" spans="1:5" ht="27.4" customHeight="1">
      <c r="A11" s="1" t="s">
        <v>686</v>
      </c>
      <c r="B11" s="1" t="s">
        <v>3552</v>
      </c>
    </row>
    <row r="12" spans="1:5">
      <c r="A12" s="1" t="s">
        <v>3553</v>
      </c>
      <c r="B12" s="1" t="s">
        <v>3554</v>
      </c>
    </row>
    <row r="13" spans="1:5">
      <c r="A13" s="1" t="s">
        <v>1317</v>
      </c>
      <c r="B13" s="1" t="s">
        <v>3555</v>
      </c>
    </row>
    <row r="14" spans="1:5">
      <c r="A14" s="1" t="s">
        <v>1344</v>
      </c>
      <c r="B14" s="1" t="s">
        <v>3556</v>
      </c>
    </row>
    <row r="15" spans="1:5" ht="30">
      <c r="A15" s="19" t="s">
        <v>3557</v>
      </c>
      <c r="B15" s="19"/>
    </row>
    <row r="16" spans="1:5" ht="27.4" customHeight="1">
      <c r="A16" s="1" t="s">
        <v>5</v>
      </c>
      <c r="B16" s="1" t="s">
        <v>3558</v>
      </c>
    </row>
    <row r="17" spans="1:2" ht="54.75" customHeight="1">
      <c r="A17" s="1" t="s">
        <v>3559</v>
      </c>
      <c r="B17" s="1" t="s">
        <v>3560</v>
      </c>
    </row>
    <row r="18" spans="1:2" ht="27.4" customHeight="1">
      <c r="A18" s="1" t="s">
        <v>1337</v>
      </c>
      <c r="B18" s="1" t="s">
        <v>3561</v>
      </c>
    </row>
  </sheetData>
  <sheetProtection password="FE3F" sheet="1" objects="1" scenarios="1" formatRows="0"/>
  <mergeCells count="1">
    <mergeCell ref="A1:D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66"/>
  <sheetViews>
    <sheetView workbookViewId="0"/>
  </sheetViews>
  <sheetFormatPr defaultRowHeight="14.25"/>
  <cols>
    <col min="1" max="1" width="24" customWidth="1"/>
    <col min="2" max="2" width="14" customWidth="1"/>
    <col min="3" max="3" width="30" customWidth="1"/>
    <col min="4" max="4" width="68" customWidth="1"/>
    <col min="5" max="5" width="16" customWidth="1"/>
    <col min="6" max="6" width="34" customWidth="1"/>
  </cols>
  <sheetData>
    <row r="1" spans="1:6" ht="15">
      <c r="A1" s="155" t="s">
        <v>3562</v>
      </c>
      <c r="B1" s="120"/>
      <c r="C1" s="120"/>
      <c r="D1" s="120"/>
      <c r="E1" s="120"/>
      <c r="F1" s="120"/>
    </row>
    <row r="3" spans="1:6" ht="15">
      <c r="A3" s="23" t="s">
        <v>3563</v>
      </c>
      <c r="B3" s="23" t="s">
        <v>1629</v>
      </c>
      <c r="C3" s="23" t="s">
        <v>3564</v>
      </c>
      <c r="D3" s="23" t="s">
        <v>3565</v>
      </c>
      <c r="E3" s="23" t="s">
        <v>3566</v>
      </c>
      <c r="F3" s="23" t="s">
        <v>3567</v>
      </c>
    </row>
    <row r="4" spans="1:6" ht="41.1" customHeight="1">
      <c r="A4" s="1" t="s">
        <v>3568</v>
      </c>
      <c r="B4" s="1" t="s">
        <v>1631</v>
      </c>
      <c r="C4" s="1" t="s">
        <v>3569</v>
      </c>
      <c r="D4" s="1" t="s">
        <v>3570</v>
      </c>
      <c r="E4" s="1" t="s">
        <v>1631</v>
      </c>
      <c r="F4" s="1" t="s">
        <v>3571</v>
      </c>
    </row>
    <row r="5" spans="1:6" ht="27.4" customHeight="1">
      <c r="A5" s="1" t="s">
        <v>3572</v>
      </c>
      <c r="B5" s="1" t="s">
        <v>1631</v>
      </c>
      <c r="C5" s="1" t="s">
        <v>3573</v>
      </c>
      <c r="D5" s="1" t="s">
        <v>3574</v>
      </c>
      <c r="E5" s="1" t="s">
        <v>1631</v>
      </c>
      <c r="F5" s="1" t="s">
        <v>3575</v>
      </c>
    </row>
    <row r="6" spans="1:6" ht="27.4" customHeight="1">
      <c r="A6" s="1" t="s">
        <v>3576</v>
      </c>
      <c r="B6" s="1" t="s">
        <v>1631</v>
      </c>
      <c r="C6" s="1" t="s">
        <v>3577</v>
      </c>
      <c r="D6" s="1" t="s">
        <v>3578</v>
      </c>
      <c r="E6" s="1" t="s">
        <v>1631</v>
      </c>
      <c r="F6" s="1" t="s">
        <v>3575</v>
      </c>
    </row>
    <row r="7" spans="1:6" ht="27.4" customHeight="1">
      <c r="A7" s="1" t="s">
        <v>3579</v>
      </c>
      <c r="B7" s="1" t="s">
        <v>1631</v>
      </c>
      <c r="C7" s="1" t="s">
        <v>3580</v>
      </c>
      <c r="D7" s="1" t="s">
        <v>3581</v>
      </c>
      <c r="E7" s="1" t="s">
        <v>1631</v>
      </c>
      <c r="F7" s="1" t="s">
        <v>3582</v>
      </c>
    </row>
    <row r="8" spans="1:6" ht="27.4" customHeight="1">
      <c r="A8" s="1" t="s">
        <v>1309</v>
      </c>
      <c r="B8" s="1" t="s">
        <v>1631</v>
      </c>
      <c r="C8" s="1" t="s">
        <v>3540</v>
      </c>
      <c r="D8" s="1" t="s">
        <v>3583</v>
      </c>
      <c r="E8" s="1" t="s">
        <v>1631</v>
      </c>
      <c r="F8" s="1" t="s">
        <v>3584</v>
      </c>
    </row>
    <row r="9" spans="1:6" ht="41.1" customHeight="1">
      <c r="A9" s="1" t="s">
        <v>1331</v>
      </c>
      <c r="B9" s="1" t="s">
        <v>1631</v>
      </c>
      <c r="C9" s="1" t="s">
        <v>3585</v>
      </c>
      <c r="D9" s="1" t="s">
        <v>3586</v>
      </c>
      <c r="E9" s="1" t="s">
        <v>1631</v>
      </c>
      <c r="F9" s="1" t="s">
        <v>3587</v>
      </c>
    </row>
    <row r="10" spans="1:6" ht="27.4" customHeight="1">
      <c r="A10" s="1" t="s">
        <v>3588</v>
      </c>
      <c r="B10" s="1" t="s">
        <v>1631</v>
      </c>
      <c r="C10" s="1" t="s">
        <v>3589</v>
      </c>
      <c r="D10" s="1" t="s">
        <v>3590</v>
      </c>
      <c r="E10" s="1" t="s">
        <v>1631</v>
      </c>
      <c r="F10" s="1" t="s">
        <v>3591</v>
      </c>
    </row>
    <row r="11" spans="1:6" ht="27.4" customHeight="1">
      <c r="A11" s="1" t="s">
        <v>658</v>
      </c>
      <c r="B11" s="1" t="s">
        <v>1631</v>
      </c>
      <c r="C11" s="1" t="s">
        <v>342</v>
      </c>
      <c r="D11" s="1" t="s">
        <v>3592</v>
      </c>
      <c r="E11" s="1" t="s">
        <v>1631</v>
      </c>
      <c r="F11" s="1" t="s">
        <v>3593</v>
      </c>
    </row>
    <row r="12" spans="1:6" ht="27.4" customHeight="1">
      <c r="A12" s="1" t="s">
        <v>8</v>
      </c>
      <c r="B12" s="1" t="s">
        <v>1631</v>
      </c>
      <c r="C12" s="1" t="s">
        <v>3594</v>
      </c>
      <c r="D12" s="1" t="s">
        <v>3595</v>
      </c>
      <c r="E12" s="1" t="s">
        <v>1631</v>
      </c>
      <c r="F12" s="1" t="s">
        <v>3596</v>
      </c>
    </row>
    <row r="13" spans="1:6" ht="41.1" customHeight="1">
      <c r="A13" s="1" t="s">
        <v>920</v>
      </c>
      <c r="B13" s="1" t="s">
        <v>1631</v>
      </c>
      <c r="C13" s="1" t="s">
        <v>3597</v>
      </c>
      <c r="D13" s="1" t="s">
        <v>3598</v>
      </c>
      <c r="E13" s="1" t="s">
        <v>1631</v>
      </c>
      <c r="F13" s="1" t="s">
        <v>3599</v>
      </c>
    </row>
    <row r="14" spans="1:6" ht="27.4" customHeight="1">
      <c r="A14" s="1" t="s">
        <v>686</v>
      </c>
      <c r="B14" s="1" t="s">
        <v>1631</v>
      </c>
      <c r="C14" s="1" t="s">
        <v>3600</v>
      </c>
      <c r="D14" s="1" t="s">
        <v>3601</v>
      </c>
      <c r="E14" s="1" t="s">
        <v>1631</v>
      </c>
      <c r="F14" s="1" t="s">
        <v>3602</v>
      </c>
    </row>
    <row r="15" spans="1:6" ht="41.1" customHeight="1">
      <c r="A15" s="1" t="s">
        <v>1322</v>
      </c>
      <c r="B15" s="1" t="s">
        <v>1631</v>
      </c>
      <c r="C15" s="1" t="s">
        <v>3603</v>
      </c>
      <c r="D15" s="1" t="s">
        <v>3604</v>
      </c>
      <c r="E15" s="1" t="s">
        <v>1631</v>
      </c>
      <c r="F15" s="1" t="s">
        <v>3602</v>
      </c>
    </row>
    <row r="16" spans="1:6" ht="27.4" customHeight="1">
      <c r="A16" s="1" t="s">
        <v>1173</v>
      </c>
      <c r="B16" s="1" t="s">
        <v>1631</v>
      </c>
      <c r="C16" s="1" t="s">
        <v>3605</v>
      </c>
      <c r="D16" s="1" t="s">
        <v>3606</v>
      </c>
      <c r="E16" s="1" t="s">
        <v>1631</v>
      </c>
      <c r="F16" s="1" t="s">
        <v>3602</v>
      </c>
    </row>
    <row r="17" spans="1:6" ht="41.1" customHeight="1">
      <c r="A17" s="1" t="s">
        <v>1313</v>
      </c>
      <c r="B17" s="1" t="s">
        <v>1631</v>
      </c>
      <c r="C17" s="1" t="s">
        <v>3607</v>
      </c>
      <c r="D17" s="1" t="s">
        <v>3608</v>
      </c>
      <c r="E17" s="1" t="s">
        <v>1631</v>
      </c>
      <c r="F17" s="1" t="s">
        <v>3602</v>
      </c>
    </row>
    <row r="18" spans="1:6" ht="27.4" customHeight="1">
      <c r="A18" s="1" t="s">
        <v>3609</v>
      </c>
      <c r="B18" s="1" t="s">
        <v>1631</v>
      </c>
      <c r="C18" s="1" t="s">
        <v>3610</v>
      </c>
      <c r="D18" s="1" t="s">
        <v>3611</v>
      </c>
      <c r="E18" s="1" t="s">
        <v>1631</v>
      </c>
      <c r="F18" s="1" t="s">
        <v>3612</v>
      </c>
    </row>
    <row r="19" spans="1:6" ht="54.75" customHeight="1">
      <c r="A19" s="1" t="s">
        <v>3613</v>
      </c>
      <c r="B19" s="1" t="s">
        <v>1631</v>
      </c>
      <c r="C19" s="1" t="s">
        <v>3614</v>
      </c>
      <c r="D19" s="1" t="s">
        <v>3615</v>
      </c>
      <c r="E19" s="1" t="s">
        <v>1631</v>
      </c>
      <c r="F19" s="1" t="s">
        <v>3616</v>
      </c>
    </row>
    <row r="20" spans="1:6" ht="27.4" customHeight="1">
      <c r="A20" s="1" t="s">
        <v>430</v>
      </c>
      <c r="B20" s="1" t="s">
        <v>1631</v>
      </c>
      <c r="C20" s="1" t="s">
        <v>3617</v>
      </c>
      <c r="D20" s="1" t="s">
        <v>3618</v>
      </c>
      <c r="E20" s="1" t="s">
        <v>1631</v>
      </c>
      <c r="F20" s="1" t="s">
        <v>3619</v>
      </c>
    </row>
    <row r="21" spans="1:6" ht="27.4" customHeight="1">
      <c r="A21" s="1" t="s">
        <v>1768</v>
      </c>
      <c r="B21" s="1" t="s">
        <v>1631</v>
      </c>
      <c r="C21" s="1" t="s">
        <v>3620</v>
      </c>
      <c r="D21" s="1" t="s">
        <v>3621</v>
      </c>
      <c r="E21" s="1" t="s">
        <v>1631</v>
      </c>
      <c r="F21" s="1" t="s">
        <v>3575</v>
      </c>
    </row>
    <row r="22" spans="1:6" ht="41.1" customHeight="1">
      <c r="A22" s="1" t="s">
        <v>1347</v>
      </c>
      <c r="B22" s="1" t="s">
        <v>3622</v>
      </c>
      <c r="C22" s="1" t="s">
        <v>3623</v>
      </c>
      <c r="D22" s="1" t="s">
        <v>3624</v>
      </c>
      <c r="E22" s="1" t="s">
        <v>3622</v>
      </c>
      <c r="F22" s="1" t="s">
        <v>3625</v>
      </c>
    </row>
    <row r="23" spans="1:6" ht="27.4" customHeight="1">
      <c r="A23" s="1" t="s">
        <v>3626</v>
      </c>
      <c r="B23" s="1" t="s">
        <v>3627</v>
      </c>
      <c r="C23" s="1" t="s">
        <v>3628</v>
      </c>
      <c r="D23" s="1" t="s">
        <v>3629</v>
      </c>
      <c r="E23" s="1" t="s">
        <v>3627</v>
      </c>
      <c r="F23" s="1" t="s">
        <v>3630</v>
      </c>
    </row>
    <row r="24" spans="1:6" ht="41.1" customHeight="1">
      <c r="A24" s="1" t="s">
        <v>3631</v>
      </c>
      <c r="B24" s="1" t="s">
        <v>3627</v>
      </c>
      <c r="C24" s="1" t="s">
        <v>3632</v>
      </c>
      <c r="D24" s="1" t="s">
        <v>3633</v>
      </c>
      <c r="E24" s="1" t="s">
        <v>3627</v>
      </c>
      <c r="F24" s="1" t="s">
        <v>3634</v>
      </c>
    </row>
    <row r="25" spans="1:6" ht="27.4" customHeight="1">
      <c r="A25" s="1" t="s">
        <v>3635</v>
      </c>
      <c r="B25" s="1" t="s">
        <v>1631</v>
      </c>
      <c r="C25" s="1" t="s">
        <v>3636</v>
      </c>
      <c r="D25" s="1" t="s">
        <v>3637</v>
      </c>
      <c r="E25" s="1" t="s">
        <v>1631</v>
      </c>
      <c r="F25" s="1" t="s">
        <v>3638</v>
      </c>
    </row>
    <row r="26" spans="1:6" ht="41.1" customHeight="1">
      <c r="A26" s="1" t="s">
        <v>3639</v>
      </c>
      <c r="B26" s="1" t="s">
        <v>1631</v>
      </c>
      <c r="C26" s="1" t="s">
        <v>3640</v>
      </c>
      <c r="D26" s="1" t="s">
        <v>3641</v>
      </c>
      <c r="E26" s="1" t="s">
        <v>1631</v>
      </c>
      <c r="F26" s="1" t="s">
        <v>3642</v>
      </c>
    </row>
    <row r="27" spans="1:6" ht="27.4" customHeight="1">
      <c r="A27" s="1" t="s">
        <v>3643</v>
      </c>
      <c r="B27" s="1" t="s">
        <v>1631</v>
      </c>
      <c r="C27" s="1" t="s">
        <v>3644</v>
      </c>
      <c r="D27" s="1" t="s">
        <v>3645</v>
      </c>
      <c r="E27" s="1" t="s">
        <v>1631</v>
      </c>
      <c r="F27" s="1" t="s">
        <v>3646</v>
      </c>
    </row>
    <row r="28" spans="1:6" ht="27.4" customHeight="1">
      <c r="A28" s="1" t="s">
        <v>3647</v>
      </c>
      <c r="B28" s="1" t="s">
        <v>1631</v>
      </c>
      <c r="C28" s="1" t="s">
        <v>3648</v>
      </c>
      <c r="D28" s="1" t="s">
        <v>3649</v>
      </c>
      <c r="E28" s="1" t="s">
        <v>1631</v>
      </c>
      <c r="F28" s="1" t="s">
        <v>3646</v>
      </c>
    </row>
    <row r="30" spans="1:6" ht="41.1" customHeight="1">
      <c r="A30" s="1" t="s">
        <v>3650</v>
      </c>
      <c r="B30" s="1" t="s">
        <v>1631</v>
      </c>
      <c r="C30" s="1" t="s">
        <v>3651</v>
      </c>
      <c r="D30" s="1" t="s">
        <v>3652</v>
      </c>
      <c r="E30" s="1" t="s">
        <v>1631</v>
      </c>
      <c r="F30" s="1" t="s">
        <v>3653</v>
      </c>
    </row>
    <row r="31" spans="1:6" ht="27.4" customHeight="1">
      <c r="A31" s="1" t="s">
        <v>686</v>
      </c>
      <c r="B31" s="1" t="s">
        <v>1631</v>
      </c>
      <c r="C31" s="1" t="s">
        <v>3654</v>
      </c>
      <c r="D31" s="1" t="s">
        <v>3655</v>
      </c>
      <c r="E31" s="1" t="s">
        <v>1631</v>
      </c>
      <c r="F31" s="1" t="s">
        <v>3653</v>
      </c>
    </row>
    <row r="32" spans="1:6" ht="81.95" customHeight="1">
      <c r="A32" s="1" t="s">
        <v>1322</v>
      </c>
      <c r="B32" s="1" t="s">
        <v>1631</v>
      </c>
      <c r="C32" s="1" t="s">
        <v>3656</v>
      </c>
      <c r="D32" s="1" t="s">
        <v>3657</v>
      </c>
      <c r="E32" s="1" t="s">
        <v>1631</v>
      </c>
      <c r="F32" s="1" t="s">
        <v>3658</v>
      </c>
    </row>
    <row r="34" spans="1:6" ht="41.1" customHeight="1">
      <c r="A34" s="1" t="s">
        <v>3659</v>
      </c>
      <c r="B34" s="1" t="s">
        <v>1619</v>
      </c>
      <c r="C34" s="1" t="s">
        <v>3660</v>
      </c>
      <c r="D34" s="1" t="s">
        <v>3661</v>
      </c>
      <c r="E34" s="1" t="s">
        <v>1619</v>
      </c>
      <c r="F34" s="1" t="s">
        <v>3662</v>
      </c>
    </row>
    <row r="35" spans="1:6" ht="41.1" customHeight="1">
      <c r="A35" s="1" t="s">
        <v>3663</v>
      </c>
      <c r="B35" s="1" t="s">
        <v>1631</v>
      </c>
      <c r="C35" s="1" t="s">
        <v>3664</v>
      </c>
      <c r="D35" s="1" t="s">
        <v>3665</v>
      </c>
      <c r="E35" s="1" t="s">
        <v>1631</v>
      </c>
      <c r="F35" s="1" t="s">
        <v>3666</v>
      </c>
    </row>
    <row r="36" spans="1:6" ht="41.1" customHeight="1">
      <c r="A36" s="1" t="s">
        <v>3667</v>
      </c>
      <c r="B36" s="1" t="s">
        <v>3668</v>
      </c>
      <c r="C36" s="1" t="s">
        <v>3669</v>
      </c>
      <c r="D36" s="1" t="s">
        <v>3670</v>
      </c>
      <c r="E36" s="1" t="s">
        <v>3668</v>
      </c>
      <c r="F36" s="1" t="s">
        <v>3671</v>
      </c>
    </row>
    <row r="37" spans="1:6">
      <c r="D37" t="s">
        <v>3672</v>
      </c>
      <c r="F37" t="s">
        <v>3673</v>
      </c>
    </row>
    <row r="38" spans="1:6" ht="41.1" customHeight="1">
      <c r="A38" s="1" t="s">
        <v>3674</v>
      </c>
      <c r="B38" s="1" t="s">
        <v>1619</v>
      </c>
      <c r="C38" s="1" t="s">
        <v>3675</v>
      </c>
      <c r="D38" s="1" t="s">
        <v>3676</v>
      </c>
      <c r="E38" s="1" t="s">
        <v>1619</v>
      </c>
      <c r="F38" s="1" t="s">
        <v>3677</v>
      </c>
    </row>
    <row r="39" spans="1:6" ht="68.45" customHeight="1">
      <c r="A39" s="1" t="s">
        <v>3678</v>
      </c>
      <c r="B39" s="1" t="s">
        <v>1631</v>
      </c>
      <c r="C39" s="1" t="s">
        <v>3675</v>
      </c>
      <c r="D39" s="1" t="s">
        <v>3679</v>
      </c>
      <c r="E39" s="1" t="s">
        <v>1631</v>
      </c>
      <c r="F39" s="1" t="s">
        <v>3680</v>
      </c>
    </row>
    <row r="40" spans="1:6" ht="41.1" customHeight="1">
      <c r="A40" s="1" t="s">
        <v>3681</v>
      </c>
      <c r="B40" s="1" t="s">
        <v>1619</v>
      </c>
      <c r="C40" s="1" t="s">
        <v>3682</v>
      </c>
      <c r="D40" s="1" t="s">
        <v>3683</v>
      </c>
      <c r="E40" s="1" t="s">
        <v>1619</v>
      </c>
      <c r="F40" s="1" t="s">
        <v>3684</v>
      </c>
    </row>
    <row r="41" spans="1:6" ht="54.75" customHeight="1">
      <c r="A41" s="1" t="s">
        <v>3685</v>
      </c>
      <c r="B41" s="1" t="s">
        <v>1619</v>
      </c>
      <c r="C41" s="1" t="s">
        <v>3686</v>
      </c>
      <c r="D41" s="1" t="s">
        <v>3687</v>
      </c>
      <c r="E41" s="1" t="s">
        <v>1619</v>
      </c>
      <c r="F41" s="1" t="s">
        <v>3688</v>
      </c>
    </row>
    <row r="42" spans="1:6" ht="27.4" customHeight="1">
      <c r="A42" s="1" t="s">
        <v>3689</v>
      </c>
      <c r="B42" s="1" t="s">
        <v>1619</v>
      </c>
      <c r="C42" s="1" t="s">
        <v>3690</v>
      </c>
      <c r="D42" s="1" t="s">
        <v>3691</v>
      </c>
      <c r="E42" s="1" t="s">
        <v>1619</v>
      </c>
      <c r="F42" s="1" t="s">
        <v>3692</v>
      </c>
    </row>
    <row r="43" spans="1:6" ht="27.4" customHeight="1">
      <c r="A43" s="1" t="s">
        <v>3693</v>
      </c>
      <c r="B43" s="1" t="s">
        <v>1631</v>
      </c>
      <c r="C43" s="1" t="s">
        <v>3694</v>
      </c>
      <c r="D43" s="1" t="s">
        <v>3695</v>
      </c>
      <c r="E43" s="1" t="s">
        <v>1631</v>
      </c>
      <c r="F43" s="1" t="s">
        <v>3696</v>
      </c>
    </row>
    <row r="44" spans="1:6" ht="27.4" customHeight="1">
      <c r="A44" s="1" t="s">
        <v>1574</v>
      </c>
      <c r="B44" s="1" t="s">
        <v>3668</v>
      </c>
      <c r="C44" s="1" t="s">
        <v>3697</v>
      </c>
      <c r="D44" s="1" t="s">
        <v>3698</v>
      </c>
      <c r="E44" s="1" t="s">
        <v>3668</v>
      </c>
      <c r="F44" s="1" t="s">
        <v>3699</v>
      </c>
    </row>
    <row r="45" spans="1:6">
      <c r="D45" t="s">
        <v>3700</v>
      </c>
    </row>
    <row r="46" spans="1:6" ht="54.75" customHeight="1">
      <c r="A46" s="1" t="s">
        <v>3701</v>
      </c>
      <c r="B46" s="1" t="s">
        <v>1619</v>
      </c>
      <c r="C46" s="1" t="s">
        <v>3702</v>
      </c>
      <c r="D46" s="1" t="s">
        <v>3703</v>
      </c>
      <c r="E46" s="1" t="s">
        <v>1619</v>
      </c>
      <c r="F46" s="1" t="s">
        <v>3704</v>
      </c>
    </row>
    <row r="47" spans="1:6" ht="41.1" customHeight="1">
      <c r="A47" s="1" t="s">
        <v>3705</v>
      </c>
      <c r="B47" s="1" t="s">
        <v>1631</v>
      </c>
      <c r="C47" s="1" t="s">
        <v>3706</v>
      </c>
      <c r="D47" s="1" t="s">
        <v>3707</v>
      </c>
      <c r="E47" s="1" t="s">
        <v>1631</v>
      </c>
      <c r="F47" s="1" t="s">
        <v>3666</v>
      </c>
    </row>
    <row r="48" spans="1:6" ht="27.4" customHeight="1">
      <c r="A48" s="1" t="s">
        <v>3708</v>
      </c>
      <c r="B48" s="1" t="s">
        <v>1619</v>
      </c>
      <c r="C48" s="1" t="s">
        <v>3709</v>
      </c>
      <c r="D48" s="1" t="s">
        <v>3710</v>
      </c>
      <c r="E48" s="1" t="s">
        <v>1619</v>
      </c>
      <c r="F48" s="1" t="s">
        <v>3711</v>
      </c>
    </row>
    <row r="49" spans="1:6" ht="41.1" customHeight="1">
      <c r="A49" s="1" t="s">
        <v>3712</v>
      </c>
      <c r="B49" s="1" t="s">
        <v>3668</v>
      </c>
      <c r="C49" s="1" t="s">
        <v>3713</v>
      </c>
      <c r="D49" s="1" t="s">
        <v>3714</v>
      </c>
      <c r="E49" s="1" t="s">
        <v>3668</v>
      </c>
      <c r="F49" s="1" t="s">
        <v>3715</v>
      </c>
    </row>
    <row r="51" spans="1:6" ht="27.4" customHeight="1">
      <c r="A51" s="1" t="s">
        <v>1368</v>
      </c>
      <c r="B51" s="1" t="s">
        <v>1619</v>
      </c>
      <c r="C51" s="1" t="s">
        <v>3716</v>
      </c>
      <c r="D51" s="1" t="s">
        <v>3717</v>
      </c>
      <c r="E51" s="1" t="s">
        <v>1619</v>
      </c>
      <c r="F51" s="1" t="s">
        <v>3718</v>
      </c>
    </row>
    <row r="52" spans="1:6">
      <c r="A52" s="1" t="s">
        <v>3719</v>
      </c>
      <c r="B52" s="1" t="s">
        <v>1631</v>
      </c>
      <c r="C52" s="1" t="s">
        <v>3720</v>
      </c>
      <c r="D52" s="1" t="s">
        <v>3721</v>
      </c>
      <c r="E52" s="1" t="s">
        <v>1631</v>
      </c>
      <c r="F52" s="1" t="s">
        <v>3722</v>
      </c>
    </row>
    <row r="53" spans="1:6">
      <c r="A53" s="1" t="s">
        <v>3723</v>
      </c>
      <c r="B53" s="1" t="s">
        <v>1631</v>
      </c>
      <c r="C53" s="1" t="s">
        <v>3724</v>
      </c>
      <c r="D53" s="1" t="s">
        <v>3725</v>
      </c>
      <c r="E53" s="1" t="s">
        <v>1631</v>
      </c>
      <c r="F53" s="1" t="s">
        <v>3722</v>
      </c>
    </row>
    <row r="55" spans="1:6" ht="27.4" customHeight="1">
      <c r="A55" s="1" t="s">
        <v>3726</v>
      </c>
      <c r="B55" s="1" t="s">
        <v>1619</v>
      </c>
      <c r="C55" s="1" t="s">
        <v>3727</v>
      </c>
      <c r="D55" s="1" t="s">
        <v>3728</v>
      </c>
      <c r="E55" s="1" t="s">
        <v>1631</v>
      </c>
      <c r="F55" s="1" t="s">
        <v>3729</v>
      </c>
    </row>
    <row r="56" spans="1:6" ht="27.4" customHeight="1">
      <c r="A56" s="1" t="s">
        <v>3730</v>
      </c>
      <c r="B56" s="1" t="s">
        <v>1631</v>
      </c>
      <c r="C56" s="1" t="s">
        <v>3731</v>
      </c>
      <c r="D56" s="1" t="s">
        <v>3732</v>
      </c>
      <c r="E56" s="1" t="s">
        <v>1631</v>
      </c>
      <c r="F56" s="1" t="s">
        <v>3733</v>
      </c>
    </row>
    <row r="57" spans="1:6" ht="27.4" customHeight="1">
      <c r="A57" s="1" t="s">
        <v>3734</v>
      </c>
      <c r="B57" s="1" t="s">
        <v>1631</v>
      </c>
      <c r="C57" s="1" t="s">
        <v>3735</v>
      </c>
      <c r="D57" s="1" t="s">
        <v>3736</v>
      </c>
      <c r="E57" s="1" t="s">
        <v>1631</v>
      </c>
      <c r="F57" s="1" t="s">
        <v>3737</v>
      </c>
    </row>
    <row r="60" spans="1:6">
      <c r="A60" t="s">
        <v>3738</v>
      </c>
      <c r="B60" t="s">
        <v>1631</v>
      </c>
      <c r="C60" t="s">
        <v>3739</v>
      </c>
      <c r="D60" t="s">
        <v>3740</v>
      </c>
      <c r="E60" t="s">
        <v>1631</v>
      </c>
      <c r="F60" t="s">
        <v>3741</v>
      </c>
    </row>
    <row r="61" spans="1:6">
      <c r="A61" t="s">
        <v>3742</v>
      </c>
      <c r="B61" t="s">
        <v>1619</v>
      </c>
      <c r="C61" t="s">
        <v>3743</v>
      </c>
      <c r="D61" t="s">
        <v>3744</v>
      </c>
      <c r="E61" t="s">
        <v>1619</v>
      </c>
      <c r="F61" t="s">
        <v>3745</v>
      </c>
    </row>
    <row r="62" spans="1:6">
      <c r="A62" t="s">
        <v>3746</v>
      </c>
      <c r="B62" t="s">
        <v>1619</v>
      </c>
      <c r="C62" t="s">
        <v>3747</v>
      </c>
      <c r="D62" t="s">
        <v>3748</v>
      </c>
      <c r="E62" t="s">
        <v>1619</v>
      </c>
      <c r="F62" t="s">
        <v>3749</v>
      </c>
    </row>
    <row r="63" spans="1:6">
      <c r="A63" t="s">
        <v>3750</v>
      </c>
      <c r="B63" t="s">
        <v>1619</v>
      </c>
      <c r="C63" t="s">
        <v>3751</v>
      </c>
      <c r="D63" t="s">
        <v>3752</v>
      </c>
      <c r="E63" t="s">
        <v>1619</v>
      </c>
      <c r="F63" t="s">
        <v>3753</v>
      </c>
    </row>
    <row r="64" spans="1:6">
      <c r="A64" t="s">
        <v>3754</v>
      </c>
      <c r="B64" t="s">
        <v>1619</v>
      </c>
      <c r="C64" t="s">
        <v>3755</v>
      </c>
      <c r="D64" t="s">
        <v>3756</v>
      </c>
      <c r="E64" t="s">
        <v>1619</v>
      </c>
      <c r="F64" t="s">
        <v>3757</v>
      </c>
    </row>
    <row r="65" spans="1:6">
      <c r="A65" t="s">
        <v>3758</v>
      </c>
      <c r="B65" t="s">
        <v>1619</v>
      </c>
      <c r="C65" t="s">
        <v>437</v>
      </c>
      <c r="D65" t="s">
        <v>3759</v>
      </c>
      <c r="E65" t="s">
        <v>1619</v>
      </c>
      <c r="F65" t="s">
        <v>3760</v>
      </c>
    </row>
    <row r="66" spans="1:6">
      <c r="A66" t="s">
        <v>3761</v>
      </c>
      <c r="B66" t="s">
        <v>1989</v>
      </c>
      <c r="C66" t="s">
        <v>3762</v>
      </c>
      <c r="D66" t="s">
        <v>3763</v>
      </c>
      <c r="E66" t="s">
        <v>1631</v>
      </c>
      <c r="F66" t="s">
        <v>3764</v>
      </c>
    </row>
    <row r="67" spans="1:6">
      <c r="A67" t="s">
        <v>3765</v>
      </c>
      <c r="B67" t="s">
        <v>1989</v>
      </c>
      <c r="C67" t="s">
        <v>3766</v>
      </c>
      <c r="D67" t="s">
        <v>3767</v>
      </c>
      <c r="E67" t="s">
        <v>1619</v>
      </c>
      <c r="F67" t="s">
        <v>3768</v>
      </c>
    </row>
    <row r="69" spans="1:6">
      <c r="A69" t="s">
        <v>3769</v>
      </c>
      <c r="B69" t="s">
        <v>1631</v>
      </c>
      <c r="C69" t="s">
        <v>3770</v>
      </c>
      <c r="D69" t="s">
        <v>3771</v>
      </c>
      <c r="E69" t="s">
        <v>1631</v>
      </c>
    </row>
    <row r="70" spans="1:6">
      <c r="A70" t="s">
        <v>3772</v>
      </c>
      <c r="B70" t="s">
        <v>1631</v>
      </c>
      <c r="C70" t="s">
        <v>3770</v>
      </c>
      <c r="D70" t="s">
        <v>3773</v>
      </c>
      <c r="E70" t="s">
        <v>1631</v>
      </c>
    </row>
    <row r="71" spans="1:6">
      <c r="A71" t="s">
        <v>3774</v>
      </c>
      <c r="B71" t="s">
        <v>1631</v>
      </c>
      <c r="C71" t="s">
        <v>3770</v>
      </c>
      <c r="D71" t="s">
        <v>3775</v>
      </c>
      <c r="E71" t="s">
        <v>1631</v>
      </c>
    </row>
    <row r="72" spans="1:6">
      <c r="A72" t="s">
        <v>3776</v>
      </c>
      <c r="B72" t="s">
        <v>1631</v>
      </c>
      <c r="C72" t="s">
        <v>3770</v>
      </c>
      <c r="D72" t="s">
        <v>3777</v>
      </c>
      <c r="E72" t="s">
        <v>1631</v>
      </c>
    </row>
    <row r="73" spans="1:6">
      <c r="A73" t="s">
        <v>3778</v>
      </c>
      <c r="B73" t="s">
        <v>1631</v>
      </c>
      <c r="C73" t="s">
        <v>3770</v>
      </c>
      <c r="D73" t="s">
        <v>3779</v>
      </c>
      <c r="E73" t="s">
        <v>1631</v>
      </c>
    </row>
    <row r="74" spans="1:6">
      <c r="A74" t="s">
        <v>3780</v>
      </c>
      <c r="B74" t="s">
        <v>1631</v>
      </c>
      <c r="C74" t="s">
        <v>3770</v>
      </c>
      <c r="D74" t="s">
        <v>3781</v>
      </c>
      <c r="E74" t="s">
        <v>1631</v>
      </c>
    </row>
    <row r="75" spans="1:6">
      <c r="A75" t="s">
        <v>3782</v>
      </c>
      <c r="B75" t="s">
        <v>1631</v>
      </c>
      <c r="C75" t="s">
        <v>3770</v>
      </c>
      <c r="D75" t="s">
        <v>3783</v>
      </c>
      <c r="E75" t="s">
        <v>1631</v>
      </c>
    </row>
    <row r="76" spans="1:6">
      <c r="A76" t="s">
        <v>3784</v>
      </c>
      <c r="B76" t="s">
        <v>1631</v>
      </c>
      <c r="C76" t="s">
        <v>3770</v>
      </c>
      <c r="D76" t="s">
        <v>3785</v>
      </c>
      <c r="E76" t="s">
        <v>1631</v>
      </c>
    </row>
    <row r="77" spans="1:6">
      <c r="A77" t="s">
        <v>3786</v>
      </c>
      <c r="B77" t="s">
        <v>1631</v>
      </c>
      <c r="C77" t="s">
        <v>3787</v>
      </c>
      <c r="D77" t="s">
        <v>3788</v>
      </c>
      <c r="E77" t="s">
        <v>1631</v>
      </c>
      <c r="F77" t="s">
        <v>3789</v>
      </c>
    </row>
    <row r="78" spans="1:6">
      <c r="A78" t="s">
        <v>3790</v>
      </c>
      <c r="B78" t="s">
        <v>1631</v>
      </c>
      <c r="C78" t="s">
        <v>3791</v>
      </c>
      <c r="D78" t="s">
        <v>3792</v>
      </c>
      <c r="E78" t="s">
        <v>1631</v>
      </c>
      <c r="F78" t="s">
        <v>3793</v>
      </c>
    </row>
    <row r="79" spans="1:6">
      <c r="A79" t="s">
        <v>3794</v>
      </c>
      <c r="B79" t="s">
        <v>1631</v>
      </c>
      <c r="C79" t="s">
        <v>3795</v>
      </c>
      <c r="D79" t="s">
        <v>3796</v>
      </c>
      <c r="E79" t="s">
        <v>1631</v>
      </c>
      <c r="F79" t="s">
        <v>3797</v>
      </c>
    </row>
    <row r="80" spans="1:6">
      <c r="A80" t="s">
        <v>3798</v>
      </c>
      <c r="B80" t="s">
        <v>1631</v>
      </c>
      <c r="C80" t="s">
        <v>3799</v>
      </c>
      <c r="D80" t="s">
        <v>3800</v>
      </c>
      <c r="E80" t="s">
        <v>1631</v>
      </c>
      <c r="F80" t="s">
        <v>3801</v>
      </c>
    </row>
    <row r="81" spans="1:6">
      <c r="A81" t="s">
        <v>3802</v>
      </c>
      <c r="B81" t="s">
        <v>1989</v>
      </c>
      <c r="C81" t="s">
        <v>3803</v>
      </c>
      <c r="D81" t="s">
        <v>3804</v>
      </c>
      <c r="E81" t="s">
        <v>1631</v>
      </c>
      <c r="F81" t="s">
        <v>3805</v>
      </c>
    </row>
    <row r="82" spans="1:6">
      <c r="A82" t="s">
        <v>3806</v>
      </c>
      <c r="B82" t="s">
        <v>1619</v>
      </c>
      <c r="C82" t="s">
        <v>3807</v>
      </c>
      <c r="D82" t="s">
        <v>3808</v>
      </c>
      <c r="E82" t="s">
        <v>1631</v>
      </c>
      <c r="F82" t="s">
        <v>3809</v>
      </c>
    </row>
    <row r="83" spans="1:6">
      <c r="A83" t="s">
        <v>3810</v>
      </c>
      <c r="B83" t="s">
        <v>3811</v>
      </c>
      <c r="C83" t="s">
        <v>3812</v>
      </c>
      <c r="D83" t="s">
        <v>3813</v>
      </c>
      <c r="E83" t="s">
        <v>1631</v>
      </c>
      <c r="F83" t="s">
        <v>3814</v>
      </c>
    </row>
    <row r="84" spans="1:6">
      <c r="A84" t="s">
        <v>3815</v>
      </c>
      <c r="B84" t="s">
        <v>1989</v>
      </c>
      <c r="C84" t="s">
        <v>3807</v>
      </c>
      <c r="D84" t="s">
        <v>3816</v>
      </c>
      <c r="E84" t="s">
        <v>1631</v>
      </c>
      <c r="F84" t="s">
        <v>3817</v>
      </c>
    </row>
    <row r="85" spans="1:6">
      <c r="A85" t="s">
        <v>3818</v>
      </c>
      <c r="B85" t="s">
        <v>1619</v>
      </c>
      <c r="C85" t="s">
        <v>3819</v>
      </c>
      <c r="D85" t="s">
        <v>3820</v>
      </c>
      <c r="E85" t="s">
        <v>1631</v>
      </c>
      <c r="F85" t="s">
        <v>3821</v>
      </c>
    </row>
    <row r="86" spans="1:6">
      <c r="A86" t="s">
        <v>3822</v>
      </c>
      <c r="B86" t="s">
        <v>1619</v>
      </c>
      <c r="C86" t="s">
        <v>3823</v>
      </c>
      <c r="D86" t="s">
        <v>3824</v>
      </c>
      <c r="E86" t="s">
        <v>1631</v>
      </c>
      <c r="F86" t="s">
        <v>3825</v>
      </c>
    </row>
    <row r="87" spans="1:6">
      <c r="A87" t="s">
        <v>3826</v>
      </c>
      <c r="B87" t="s">
        <v>1619</v>
      </c>
      <c r="C87" t="s">
        <v>3827</v>
      </c>
      <c r="D87" t="s">
        <v>3828</v>
      </c>
      <c r="E87" t="s">
        <v>1631</v>
      </c>
      <c r="F87" t="s">
        <v>3829</v>
      </c>
    </row>
    <row r="88" spans="1:6">
      <c r="A88" t="s">
        <v>3830</v>
      </c>
      <c r="B88" t="s">
        <v>1619</v>
      </c>
      <c r="C88" t="s">
        <v>3807</v>
      </c>
      <c r="D88" t="s">
        <v>3831</v>
      </c>
      <c r="E88" t="s">
        <v>1631</v>
      </c>
      <c r="F88" t="s">
        <v>3832</v>
      </c>
    </row>
    <row r="89" spans="1:6">
      <c r="A89" t="s">
        <v>3833</v>
      </c>
      <c r="B89" t="s">
        <v>3834</v>
      </c>
      <c r="C89" t="s">
        <v>3835</v>
      </c>
      <c r="D89" t="s">
        <v>3836</v>
      </c>
      <c r="E89" t="s">
        <v>1631</v>
      </c>
      <c r="F89" t="s">
        <v>3837</v>
      </c>
    </row>
    <row r="90" spans="1:6">
      <c r="A90" t="s">
        <v>3838</v>
      </c>
      <c r="B90" t="s">
        <v>1753</v>
      </c>
      <c r="C90" t="s">
        <v>3839</v>
      </c>
      <c r="D90" t="s">
        <v>3840</v>
      </c>
      <c r="E90" t="s">
        <v>1631</v>
      </c>
      <c r="F90" t="s">
        <v>3841</v>
      </c>
    </row>
    <row r="91" spans="1:6">
      <c r="A91" t="s">
        <v>3842</v>
      </c>
      <c r="B91" t="s">
        <v>3843</v>
      </c>
      <c r="C91" t="s">
        <v>3844</v>
      </c>
      <c r="D91" t="s">
        <v>3845</v>
      </c>
      <c r="E91" t="s">
        <v>1631</v>
      </c>
      <c r="F91" t="s">
        <v>3846</v>
      </c>
    </row>
    <row r="92" spans="1:6">
      <c r="A92" t="s">
        <v>3847</v>
      </c>
      <c r="B92" t="s">
        <v>3848</v>
      </c>
      <c r="C92" t="s">
        <v>3849</v>
      </c>
      <c r="D92" t="s">
        <v>3850</v>
      </c>
      <c r="E92" t="s">
        <v>1631</v>
      </c>
      <c r="F92" t="s">
        <v>3851</v>
      </c>
    </row>
    <row r="93" spans="1:6">
      <c r="A93" t="s">
        <v>3852</v>
      </c>
      <c r="B93" t="s">
        <v>3848</v>
      </c>
      <c r="C93" t="s">
        <v>3853</v>
      </c>
      <c r="D93" t="s">
        <v>3854</v>
      </c>
      <c r="E93" t="s">
        <v>1631</v>
      </c>
      <c r="F93" t="s">
        <v>3855</v>
      </c>
    </row>
    <row r="94" spans="1:6">
      <c r="A94" t="s">
        <v>3856</v>
      </c>
      <c r="B94" t="s">
        <v>3834</v>
      </c>
      <c r="C94" t="s">
        <v>3857</v>
      </c>
      <c r="D94" t="s">
        <v>3858</v>
      </c>
      <c r="E94" t="s">
        <v>1631</v>
      </c>
      <c r="F94" t="s">
        <v>3859</v>
      </c>
    </row>
    <row r="95" spans="1:6">
      <c r="A95" t="s">
        <v>3860</v>
      </c>
      <c r="B95" t="s">
        <v>3834</v>
      </c>
      <c r="C95" t="s">
        <v>3861</v>
      </c>
      <c r="D95" t="s">
        <v>3862</v>
      </c>
      <c r="E95" t="s">
        <v>1631</v>
      </c>
      <c r="F95" t="s">
        <v>3863</v>
      </c>
    </row>
    <row r="96" spans="1:6">
      <c r="A96" t="s">
        <v>3864</v>
      </c>
      <c r="B96" t="s">
        <v>1989</v>
      </c>
      <c r="C96" t="s">
        <v>3865</v>
      </c>
      <c r="D96" t="s">
        <v>3866</v>
      </c>
      <c r="E96" t="s">
        <v>1631</v>
      </c>
      <c r="F96" t="s">
        <v>3867</v>
      </c>
    </row>
    <row r="97" spans="1:6">
      <c r="A97" t="s">
        <v>2702</v>
      </c>
      <c r="B97" t="s">
        <v>1791</v>
      </c>
      <c r="C97" t="s">
        <v>3868</v>
      </c>
      <c r="D97" t="s">
        <v>3869</v>
      </c>
      <c r="E97" t="s">
        <v>1631</v>
      </c>
      <c r="F97" t="s">
        <v>3870</v>
      </c>
    </row>
    <row r="98" spans="1:6">
      <c r="A98" t="s">
        <v>3871</v>
      </c>
      <c r="B98" t="s">
        <v>3872</v>
      </c>
      <c r="C98" t="s">
        <v>3873</v>
      </c>
      <c r="D98" t="s">
        <v>3874</v>
      </c>
      <c r="E98" t="s">
        <v>1631</v>
      </c>
      <c r="F98" t="s">
        <v>3875</v>
      </c>
    </row>
    <row r="99" spans="1:6">
      <c r="A99" t="s">
        <v>3876</v>
      </c>
      <c r="B99" t="s">
        <v>3877</v>
      </c>
      <c r="C99" t="s">
        <v>3878</v>
      </c>
      <c r="D99" t="s">
        <v>3879</v>
      </c>
      <c r="E99" t="s">
        <v>1631</v>
      </c>
      <c r="F99" t="s">
        <v>3880</v>
      </c>
    </row>
    <row r="100" spans="1:6">
      <c r="A100" t="s">
        <v>3881</v>
      </c>
      <c r="B100" t="s">
        <v>3882</v>
      </c>
      <c r="C100" t="s">
        <v>3883</v>
      </c>
      <c r="D100" t="s">
        <v>3884</v>
      </c>
      <c r="E100" t="s">
        <v>1631</v>
      </c>
      <c r="F100" t="s">
        <v>3885</v>
      </c>
    </row>
    <row r="101" spans="1:6">
      <c r="A101" t="s">
        <v>3886</v>
      </c>
      <c r="B101" t="s">
        <v>3887</v>
      </c>
      <c r="C101" t="s">
        <v>684</v>
      </c>
      <c r="D101" t="s">
        <v>3888</v>
      </c>
      <c r="E101" t="s">
        <v>1631</v>
      </c>
      <c r="F101" t="s">
        <v>3889</v>
      </c>
    </row>
    <row r="102" spans="1:6">
      <c r="A102" t="s">
        <v>3890</v>
      </c>
      <c r="B102" t="s">
        <v>3843</v>
      </c>
      <c r="C102" t="s">
        <v>3891</v>
      </c>
      <c r="D102" t="s">
        <v>3892</v>
      </c>
      <c r="E102" t="s">
        <v>1631</v>
      </c>
      <c r="F102" t="s">
        <v>3893</v>
      </c>
    </row>
    <row r="103" spans="1:6">
      <c r="A103" t="s">
        <v>3894</v>
      </c>
      <c r="B103" t="s">
        <v>1791</v>
      </c>
      <c r="C103" t="s">
        <v>3895</v>
      </c>
      <c r="D103" t="s">
        <v>3896</v>
      </c>
      <c r="E103" t="s">
        <v>1631</v>
      </c>
      <c r="F103" t="s">
        <v>3897</v>
      </c>
    </row>
    <row r="104" spans="1:6">
      <c r="A104" t="s">
        <v>3898</v>
      </c>
      <c r="B104" t="s">
        <v>3834</v>
      </c>
      <c r="C104" t="s">
        <v>3899</v>
      </c>
      <c r="D104" t="s">
        <v>3900</v>
      </c>
      <c r="E104" t="s">
        <v>1631</v>
      </c>
      <c r="F104" t="s">
        <v>3901</v>
      </c>
    </row>
    <row r="105" spans="1:6">
      <c r="A105" t="s">
        <v>3902</v>
      </c>
      <c r="B105" t="s">
        <v>1791</v>
      </c>
      <c r="C105" t="s">
        <v>3903</v>
      </c>
      <c r="D105" t="s">
        <v>3904</v>
      </c>
      <c r="E105" t="s">
        <v>1631</v>
      </c>
      <c r="F105" t="s">
        <v>3905</v>
      </c>
    </row>
    <row r="106" spans="1:6">
      <c r="A106" t="s">
        <v>3906</v>
      </c>
      <c r="B106" t="s">
        <v>1989</v>
      </c>
      <c r="C106" t="s">
        <v>3865</v>
      </c>
      <c r="D106" t="s">
        <v>3907</v>
      </c>
      <c r="E106" t="s">
        <v>1631</v>
      </c>
      <c r="F106" t="s">
        <v>3908</v>
      </c>
    </row>
    <row r="107" spans="1:6">
      <c r="A107" t="s">
        <v>3909</v>
      </c>
      <c r="B107" t="s">
        <v>3848</v>
      </c>
      <c r="C107" t="s">
        <v>3910</v>
      </c>
      <c r="D107" t="s">
        <v>3911</v>
      </c>
      <c r="E107" t="s">
        <v>1631</v>
      </c>
      <c r="F107" t="s">
        <v>3912</v>
      </c>
    </row>
    <row r="108" spans="1:6">
      <c r="A108" t="s">
        <v>3913</v>
      </c>
      <c r="B108" t="s">
        <v>3848</v>
      </c>
      <c r="C108" t="s">
        <v>3914</v>
      </c>
      <c r="D108" t="s">
        <v>3915</v>
      </c>
      <c r="E108" t="s">
        <v>1631</v>
      </c>
      <c r="F108" t="s">
        <v>3916</v>
      </c>
    </row>
    <row r="109" spans="1:6">
      <c r="A109" t="s">
        <v>3917</v>
      </c>
      <c r="B109" t="s">
        <v>3918</v>
      </c>
      <c r="C109" t="s">
        <v>3919</v>
      </c>
      <c r="D109" t="s">
        <v>3920</v>
      </c>
      <c r="E109" t="s">
        <v>1631</v>
      </c>
      <c r="F109" t="s">
        <v>3921</v>
      </c>
    </row>
    <row r="110" spans="1:6">
      <c r="A110" t="s">
        <v>3922</v>
      </c>
      <c r="B110" t="s">
        <v>3848</v>
      </c>
      <c r="C110" t="s">
        <v>3923</v>
      </c>
      <c r="D110" t="s">
        <v>3924</v>
      </c>
      <c r="E110" t="s">
        <v>1631</v>
      </c>
      <c r="F110" t="s">
        <v>3925</v>
      </c>
    </row>
    <row r="111" spans="1:6">
      <c r="A111" t="s">
        <v>3926</v>
      </c>
      <c r="B111" t="s">
        <v>3927</v>
      </c>
      <c r="C111" t="s">
        <v>3928</v>
      </c>
      <c r="D111" t="s">
        <v>3929</v>
      </c>
      <c r="E111" t="s">
        <v>3930</v>
      </c>
      <c r="F111" t="s">
        <v>3931</v>
      </c>
    </row>
    <row r="112" spans="1:6">
      <c r="A112" t="s">
        <v>3932</v>
      </c>
      <c r="B112" t="s">
        <v>1631</v>
      </c>
      <c r="C112" t="s">
        <v>3933</v>
      </c>
      <c r="D112" t="s">
        <v>3934</v>
      </c>
      <c r="E112" t="s">
        <v>1631</v>
      </c>
      <c r="F112" t="s">
        <v>3935</v>
      </c>
    </row>
    <row r="113" spans="1:6">
      <c r="A113" t="s">
        <v>3936</v>
      </c>
      <c r="B113" t="s">
        <v>1631</v>
      </c>
      <c r="C113" t="s">
        <v>3937</v>
      </c>
      <c r="D113" t="s">
        <v>3934</v>
      </c>
      <c r="E113" t="s">
        <v>1631</v>
      </c>
      <c r="F113" t="s">
        <v>3935</v>
      </c>
    </row>
    <row r="114" spans="1:6">
      <c r="A114" t="s">
        <v>3938</v>
      </c>
      <c r="B114" t="s">
        <v>1631</v>
      </c>
      <c r="C114" t="s">
        <v>3939</v>
      </c>
      <c r="D114" t="s">
        <v>3934</v>
      </c>
      <c r="E114" t="s">
        <v>1631</v>
      </c>
      <c r="F114" t="s">
        <v>3935</v>
      </c>
    </row>
    <row r="115" spans="1:6">
      <c r="A115" t="s">
        <v>3940</v>
      </c>
      <c r="B115" t="s">
        <v>1631</v>
      </c>
      <c r="C115" t="s">
        <v>3941</v>
      </c>
      <c r="D115" t="s">
        <v>3942</v>
      </c>
      <c r="E115" t="s">
        <v>1631</v>
      </c>
      <c r="F115" t="s">
        <v>3943</v>
      </c>
    </row>
    <row r="116" spans="1:6">
      <c r="A116" t="s">
        <v>3944</v>
      </c>
      <c r="B116" t="s">
        <v>1631</v>
      </c>
      <c r="C116" t="s">
        <v>3945</v>
      </c>
      <c r="D116" t="s">
        <v>3934</v>
      </c>
      <c r="E116" t="s">
        <v>1631</v>
      </c>
      <c r="F116" t="s">
        <v>3935</v>
      </c>
    </row>
    <row r="117" spans="1:6">
      <c r="A117" t="s">
        <v>3946</v>
      </c>
      <c r="B117" t="s">
        <v>1631</v>
      </c>
      <c r="C117" t="s">
        <v>3947</v>
      </c>
      <c r="D117" t="s">
        <v>3934</v>
      </c>
      <c r="E117" t="s">
        <v>1631</v>
      </c>
      <c r="F117" t="s">
        <v>3935</v>
      </c>
    </row>
    <row r="118" spans="1:6">
      <c r="A118" t="s">
        <v>642</v>
      </c>
      <c r="B118" t="s">
        <v>1631</v>
      </c>
      <c r="C118" t="s">
        <v>3948</v>
      </c>
      <c r="D118" t="s">
        <v>3934</v>
      </c>
      <c r="E118" t="s">
        <v>1631</v>
      </c>
      <c r="F118" t="s">
        <v>3935</v>
      </c>
    </row>
    <row r="119" spans="1:6">
      <c r="A119" t="s">
        <v>3949</v>
      </c>
      <c r="B119" t="s">
        <v>1631</v>
      </c>
      <c r="C119" t="s">
        <v>3950</v>
      </c>
      <c r="D119" t="s">
        <v>3934</v>
      </c>
      <c r="E119" t="s">
        <v>1631</v>
      </c>
      <c r="F119" t="s">
        <v>3935</v>
      </c>
    </row>
    <row r="120" spans="1:6">
      <c r="A120" t="s">
        <v>3951</v>
      </c>
      <c r="B120" t="s">
        <v>1631</v>
      </c>
      <c r="C120" t="s">
        <v>3950</v>
      </c>
      <c r="D120" t="s">
        <v>3934</v>
      </c>
      <c r="E120" t="s">
        <v>1631</v>
      </c>
      <c r="F120" t="s">
        <v>3935</v>
      </c>
    </row>
    <row r="121" spans="1:6">
      <c r="A121" t="s">
        <v>651</v>
      </c>
      <c r="B121" t="s">
        <v>1631</v>
      </c>
      <c r="C121" t="s">
        <v>3948</v>
      </c>
      <c r="D121" t="s">
        <v>3934</v>
      </c>
      <c r="E121" t="s">
        <v>1631</v>
      </c>
      <c r="F121" t="s">
        <v>3935</v>
      </c>
    </row>
    <row r="122" spans="1:6">
      <c r="A122" t="s">
        <v>55</v>
      </c>
      <c r="B122" t="s">
        <v>1631</v>
      </c>
      <c r="C122" t="s">
        <v>3952</v>
      </c>
      <c r="D122" t="s">
        <v>3934</v>
      </c>
      <c r="E122" t="s">
        <v>1631</v>
      </c>
      <c r="F122" t="s">
        <v>3935</v>
      </c>
    </row>
    <row r="123" spans="1:6">
      <c r="A123" t="s">
        <v>120</v>
      </c>
      <c r="B123" t="s">
        <v>1631</v>
      </c>
      <c r="C123" t="s">
        <v>3953</v>
      </c>
      <c r="D123" t="s">
        <v>3934</v>
      </c>
      <c r="E123" t="s">
        <v>1631</v>
      </c>
      <c r="F123" t="s">
        <v>3935</v>
      </c>
    </row>
    <row r="124" spans="1:6">
      <c r="A124" t="s">
        <v>3954</v>
      </c>
      <c r="B124" t="s">
        <v>1631</v>
      </c>
      <c r="C124" t="s">
        <v>3955</v>
      </c>
      <c r="D124" t="s">
        <v>3934</v>
      </c>
      <c r="E124" t="s">
        <v>1631</v>
      </c>
      <c r="F124" t="s">
        <v>3935</v>
      </c>
    </row>
    <row r="125" spans="1:6">
      <c r="A125" t="s">
        <v>3956</v>
      </c>
      <c r="B125" t="s">
        <v>1631</v>
      </c>
      <c r="C125" t="s">
        <v>3950</v>
      </c>
      <c r="D125" t="s">
        <v>3934</v>
      </c>
      <c r="E125" t="s">
        <v>1631</v>
      </c>
      <c r="F125" t="s">
        <v>3935</v>
      </c>
    </row>
    <row r="126" spans="1:6">
      <c r="A126" t="s">
        <v>3957</v>
      </c>
      <c r="B126" t="s">
        <v>1631</v>
      </c>
      <c r="C126" t="s">
        <v>3958</v>
      </c>
      <c r="D126" t="s">
        <v>3934</v>
      </c>
      <c r="E126" t="s">
        <v>1631</v>
      </c>
      <c r="F126" t="s">
        <v>3935</v>
      </c>
    </row>
    <row r="127" spans="1:6">
      <c r="A127" t="s">
        <v>1562</v>
      </c>
      <c r="B127" t="s">
        <v>1631</v>
      </c>
      <c r="C127" t="s">
        <v>3959</v>
      </c>
      <c r="D127" t="s">
        <v>3934</v>
      </c>
      <c r="E127" t="s">
        <v>1631</v>
      </c>
      <c r="F127" t="s">
        <v>3935</v>
      </c>
    </row>
    <row r="128" spans="1:6">
      <c r="A128" t="s">
        <v>3960</v>
      </c>
      <c r="B128" t="s">
        <v>1631</v>
      </c>
      <c r="C128" t="s">
        <v>3961</v>
      </c>
      <c r="D128" t="s">
        <v>3934</v>
      </c>
      <c r="E128" t="s">
        <v>1631</v>
      </c>
      <c r="F128" t="s">
        <v>3935</v>
      </c>
    </row>
    <row r="129" spans="1:6">
      <c r="A129" t="s">
        <v>3663</v>
      </c>
      <c r="B129" t="s">
        <v>1631</v>
      </c>
      <c r="C129" t="s">
        <v>3962</v>
      </c>
      <c r="D129" t="s">
        <v>3934</v>
      </c>
      <c r="E129" t="s">
        <v>1631</v>
      </c>
      <c r="F129" t="s">
        <v>3935</v>
      </c>
    </row>
    <row r="130" spans="1:6">
      <c r="A130" t="s">
        <v>3963</v>
      </c>
      <c r="B130" t="s">
        <v>1631</v>
      </c>
      <c r="C130" t="s">
        <v>3964</v>
      </c>
      <c r="D130" t="s">
        <v>3934</v>
      </c>
      <c r="E130" t="s">
        <v>1631</v>
      </c>
      <c r="F130" t="s">
        <v>3965</v>
      </c>
    </row>
    <row r="131" spans="1:6">
      <c r="A131" t="s">
        <v>3966</v>
      </c>
      <c r="B131" t="s">
        <v>1631</v>
      </c>
      <c r="C131" t="s">
        <v>3967</v>
      </c>
      <c r="D131" t="s">
        <v>3934</v>
      </c>
      <c r="E131" t="s">
        <v>1631</v>
      </c>
      <c r="F131" t="s">
        <v>3968</v>
      </c>
    </row>
    <row r="132" spans="1:6">
      <c r="A132" t="s">
        <v>1397</v>
      </c>
      <c r="B132" t="s">
        <v>3969</v>
      </c>
      <c r="C132" t="s">
        <v>1631</v>
      </c>
      <c r="D132" t="s">
        <v>3970</v>
      </c>
      <c r="E132" t="s">
        <v>3971</v>
      </c>
      <c r="F132" t="s">
        <v>3972</v>
      </c>
    </row>
    <row r="133" spans="1:6">
      <c r="A133" t="s">
        <v>1404</v>
      </c>
      <c r="B133" t="s">
        <v>3973</v>
      </c>
      <c r="C133" t="s">
        <v>1631</v>
      </c>
      <c r="D133" t="s">
        <v>3974</v>
      </c>
      <c r="E133" t="s">
        <v>3975</v>
      </c>
      <c r="F133" t="s">
        <v>3972</v>
      </c>
    </row>
    <row r="134" spans="1:6">
      <c r="A134" t="s">
        <v>1425</v>
      </c>
      <c r="B134" t="s">
        <v>3976</v>
      </c>
      <c r="C134" t="s">
        <v>1631</v>
      </c>
      <c r="D134" t="s">
        <v>3977</v>
      </c>
      <c r="E134" t="s">
        <v>3978</v>
      </c>
      <c r="F134" t="s">
        <v>3972</v>
      </c>
    </row>
    <row r="135" spans="1:6">
      <c r="A135" t="s">
        <v>3979</v>
      </c>
      <c r="B135" t="s">
        <v>3980</v>
      </c>
      <c r="C135" t="s">
        <v>1631</v>
      </c>
      <c r="D135" t="s">
        <v>3981</v>
      </c>
      <c r="E135" t="s">
        <v>3982</v>
      </c>
      <c r="F135" t="s">
        <v>3972</v>
      </c>
    </row>
    <row r="136" spans="1:6">
      <c r="A136" t="s">
        <v>1631</v>
      </c>
      <c r="B136" t="s">
        <v>3983</v>
      </c>
      <c r="C136" t="s">
        <v>3984</v>
      </c>
      <c r="D136" t="s">
        <v>3985</v>
      </c>
    </row>
    <row r="137" spans="1:6">
      <c r="A137" t="s">
        <v>1631</v>
      </c>
      <c r="B137" t="s">
        <v>3986</v>
      </c>
      <c r="C137" t="s">
        <v>3987</v>
      </c>
      <c r="D137" t="s">
        <v>3988</v>
      </c>
    </row>
    <row r="138" spans="1:6">
      <c r="A138" t="s">
        <v>1631</v>
      </c>
      <c r="B138" t="s">
        <v>3989</v>
      </c>
      <c r="C138" t="s">
        <v>3990</v>
      </c>
      <c r="D138" t="s">
        <v>3991</v>
      </c>
    </row>
    <row r="139" spans="1:6">
      <c r="A139" t="s">
        <v>1631</v>
      </c>
      <c r="B139" t="s">
        <v>3992</v>
      </c>
      <c r="C139" t="s">
        <v>3993</v>
      </c>
      <c r="D139" t="s">
        <v>3994</v>
      </c>
    </row>
    <row r="140" spans="1:6">
      <c r="A140" t="s">
        <v>1631</v>
      </c>
      <c r="B140" t="s">
        <v>3995</v>
      </c>
      <c r="C140" t="s">
        <v>3996</v>
      </c>
      <c r="D140" t="s">
        <v>3997</v>
      </c>
    </row>
    <row r="141" spans="1:6">
      <c r="A141" t="s">
        <v>1631</v>
      </c>
      <c r="B141" t="s">
        <v>3998</v>
      </c>
      <c r="C141" t="s">
        <v>3999</v>
      </c>
      <c r="D141" t="s">
        <v>4000</v>
      </c>
    </row>
    <row r="142" spans="1:6">
      <c r="A142" t="s">
        <v>1631</v>
      </c>
      <c r="B142" t="s">
        <v>4001</v>
      </c>
      <c r="C142" t="s">
        <v>4002</v>
      </c>
      <c r="D142" t="s">
        <v>4003</v>
      </c>
    </row>
    <row r="143" spans="1:6">
      <c r="A143" t="s">
        <v>1631</v>
      </c>
      <c r="B143" t="s">
        <v>4004</v>
      </c>
      <c r="C143" t="s">
        <v>4005</v>
      </c>
      <c r="D143" t="s">
        <v>4006</v>
      </c>
    </row>
    <row r="145" spans="1:6">
      <c r="A145" t="s">
        <v>4007</v>
      </c>
    </row>
    <row r="146" spans="1:6">
      <c r="A146" t="s">
        <v>4008</v>
      </c>
      <c r="B146" s="109" t="str">
        <f>IF(IF(AND(ISNUMBER(100000),100000&gt;=25,100000&lt;=5000),"VALID","INVALID")="INVALID","PASS","FAIL")</f>
        <v>PASS</v>
      </c>
      <c r="C146" t="s">
        <v>4009</v>
      </c>
      <c r="D146" t="s">
        <v>4010</v>
      </c>
      <c r="E146" s="109" t="str">
        <f>B146</f>
        <v>PASS</v>
      </c>
      <c r="F146" t="s">
        <v>4011</v>
      </c>
    </row>
    <row r="147" spans="1:6">
      <c r="A147" t="s">
        <v>4012</v>
      </c>
      <c r="B147" s="109" t="str">
        <f>IF(IF(AND(2050=INT(2050),2050&gt;=1800,2050&lt;=YEAR(DATE(2026,1,1))),"VALID","INVALID")="INVALID","PASS","FAIL")</f>
        <v>PASS</v>
      </c>
      <c r="C147" t="s">
        <v>4009</v>
      </c>
      <c r="D147" t="s">
        <v>4010</v>
      </c>
      <c r="E147" s="109" t="str">
        <f>B147</f>
        <v>PASS</v>
      </c>
      <c r="F147" t="s">
        <v>4011</v>
      </c>
    </row>
    <row r="148" spans="1:6">
      <c r="A148" t="s">
        <v>4013</v>
      </c>
      <c r="B148" s="109" t="str">
        <f>IF(IF(AND("Direct Wall Thickness / NDT"="Direct Wall Thickness / NDT",ISNUMBER(""),"" &gt;0),"VALID","INVALID")="INVALID","PASS","FAIL")</f>
        <v>PASS</v>
      </c>
      <c r="C148" t="s">
        <v>4009</v>
      </c>
      <c r="D148" t="s">
        <v>4010</v>
      </c>
      <c r="E148" s="109" t="str">
        <f>B148</f>
        <v>PASS</v>
      </c>
      <c r="F148" t="s">
        <v>4011</v>
      </c>
    </row>
    <row r="149" spans="1:6">
      <c r="A149" t="s">
        <v>4014</v>
      </c>
      <c r="B149" s="109" t="str">
        <f>IF(IF(AND(0.2&gt;0,0.2&lt;1.478,0.2&gt;=1.2*0.5),"VALID","INVALID")="INVALID","PASS","FAIL")</f>
        <v>PASS</v>
      </c>
      <c r="C149" t="s">
        <v>4009</v>
      </c>
      <c r="D149" t="s">
        <v>4010</v>
      </c>
      <c r="E149" s="109" t="str">
        <f>B149</f>
        <v>PASS</v>
      </c>
      <c r="F149" t="s">
        <v>4011</v>
      </c>
    </row>
    <row r="150" spans="1:6">
      <c r="A150" t="s">
        <v>4015</v>
      </c>
      <c r="B150" s="109" t="str">
        <f>IF($F$150="Live formula",IF('Calc Engine'!$B$143=IF(OR('Calc Engine'!$B$163="INVALID",'Calc Engine'!$B$159="INVALID",'Calc Engine'!$B$146="INVALID",'Calc Engine'!$B$147="INVALID",NOT(ISNUMBER(Dashboard!$B$4)),Dashboard!$B$4&lt;=0,'Calc Engine'!$B$148="INVALID",'Calc Engine'!$B$142="INVALID",NOT(ISNUMBER(Dashboard!$B$13)),Dashboard!$B$13&lt;0,NOT(ISNUMBER(Dashboard!$B$14)),Dashboard!$B$14&lt;0,NOT(ISNUMBER(Dashboard!$B$17)),Dashboard!$B$17&lt;0,NOT(ISNUMBER(Dashboard!$B$26)),Dashboard!$B$26&lt;0),"INVALID","VALID"),"PASS","FAIL"),"FAIL")</f>
        <v>PASS</v>
      </c>
      <c r="C150" t="s">
        <v>4016</v>
      </c>
      <c r="D150" t="s">
        <v>4017</v>
      </c>
      <c r="E150" s="109" t="str">
        <f>B150</f>
        <v>PASS</v>
      </c>
      <c r="F150" t="s">
        <v>4011</v>
      </c>
    </row>
    <row r="151" spans="1:6">
      <c r="A151" t="s">
        <v>560</v>
      </c>
      <c r="B151" t="s">
        <v>1631</v>
      </c>
      <c r="C151" t="s">
        <v>4018</v>
      </c>
      <c r="D151" t="s">
        <v>4019</v>
      </c>
      <c r="E151" t="s">
        <v>1631</v>
      </c>
      <c r="F151" t="s">
        <v>4020</v>
      </c>
    </row>
    <row r="153" spans="1:6">
      <c r="A153" t="s">
        <v>4021</v>
      </c>
    </row>
    <row r="154" spans="1:6">
      <c r="A154" t="s">
        <v>3564</v>
      </c>
      <c r="B154" t="s">
        <v>1629</v>
      </c>
      <c r="C154" t="s">
        <v>4022</v>
      </c>
      <c r="D154" t="s">
        <v>3564</v>
      </c>
      <c r="E154" t="s">
        <v>1629</v>
      </c>
      <c r="F154" t="s">
        <v>4022</v>
      </c>
    </row>
    <row r="155" spans="1:6">
      <c r="A155" t="s">
        <v>4023</v>
      </c>
      <c r="B155" t="s">
        <v>1631</v>
      </c>
      <c r="C155" t="s">
        <v>4024</v>
      </c>
      <c r="D155" t="s">
        <v>4025</v>
      </c>
      <c r="E155" t="s">
        <v>1631</v>
      </c>
      <c r="F155" t="s">
        <v>4026</v>
      </c>
    </row>
    <row r="156" spans="1:6">
      <c r="A156" t="s">
        <v>4027</v>
      </c>
      <c r="B156" t="s">
        <v>1631</v>
      </c>
      <c r="C156" t="s">
        <v>4026</v>
      </c>
      <c r="D156" t="s">
        <v>4028</v>
      </c>
      <c r="E156" t="s">
        <v>1631</v>
      </c>
      <c r="F156" t="s">
        <v>4029</v>
      </c>
    </row>
    <row r="157" spans="1:6">
      <c r="A157" t="s">
        <v>4030</v>
      </c>
      <c r="B157" t="s">
        <v>1631</v>
      </c>
      <c r="C157" t="s">
        <v>4029</v>
      </c>
      <c r="D157" t="s">
        <v>4031</v>
      </c>
      <c r="E157" t="s">
        <v>1631</v>
      </c>
      <c r="F157" t="s">
        <v>4032</v>
      </c>
    </row>
    <row r="158" spans="1:6">
      <c r="A158" t="s">
        <v>4033</v>
      </c>
      <c r="B158" t="s">
        <v>1631</v>
      </c>
      <c r="C158" t="s">
        <v>4034</v>
      </c>
      <c r="D158" t="s">
        <v>4035</v>
      </c>
      <c r="E158" t="s">
        <v>1631</v>
      </c>
      <c r="F158" t="s">
        <v>4036</v>
      </c>
    </row>
    <row r="159" spans="1:6">
      <c r="A159" t="s">
        <v>4037</v>
      </c>
      <c r="B159" t="s">
        <v>1631</v>
      </c>
      <c r="C159" t="s">
        <v>4036</v>
      </c>
      <c r="D159" t="s">
        <v>4038</v>
      </c>
      <c r="E159" t="s">
        <v>1631</v>
      </c>
      <c r="F159" t="s">
        <v>4039</v>
      </c>
    </row>
    <row r="160" spans="1:6">
      <c r="A160" t="s">
        <v>4040</v>
      </c>
      <c r="B160" t="s">
        <v>1631</v>
      </c>
      <c r="C160" t="s">
        <v>4041</v>
      </c>
      <c r="D160" t="s">
        <v>4042</v>
      </c>
      <c r="E160" t="s">
        <v>1631</v>
      </c>
      <c r="F160" t="s">
        <v>4041</v>
      </c>
    </row>
    <row r="161" spans="1:6">
      <c r="A161" t="s">
        <v>4043</v>
      </c>
      <c r="B161" t="s">
        <v>1631</v>
      </c>
      <c r="C161" t="s">
        <v>4041</v>
      </c>
      <c r="D161" t="s">
        <v>4044</v>
      </c>
      <c r="E161" t="s">
        <v>1631</v>
      </c>
      <c r="F161" t="s">
        <v>4045</v>
      </c>
    </row>
    <row r="162" spans="1:6">
      <c r="A162" t="s">
        <v>4046</v>
      </c>
      <c r="B162" t="s">
        <v>1631</v>
      </c>
      <c r="C162" t="s">
        <v>4047</v>
      </c>
      <c r="D162" t="s">
        <v>4048</v>
      </c>
      <c r="E162" t="s">
        <v>1631</v>
      </c>
      <c r="F162" t="s">
        <v>4049</v>
      </c>
    </row>
    <row r="163" spans="1:6">
      <c r="A163" t="s">
        <v>4050</v>
      </c>
      <c r="B163" t="s">
        <v>1631</v>
      </c>
      <c r="C163" t="s">
        <v>4051</v>
      </c>
      <c r="D163" t="s">
        <v>4052</v>
      </c>
      <c r="E163" t="s">
        <v>1631</v>
      </c>
      <c r="F163" t="s">
        <v>4053</v>
      </c>
    </row>
    <row r="164" spans="1:6">
      <c r="A164" t="s">
        <v>4054</v>
      </c>
      <c r="B164" t="s">
        <v>1631</v>
      </c>
      <c r="C164" t="s">
        <v>4055</v>
      </c>
      <c r="D164" t="s">
        <v>4056</v>
      </c>
      <c r="E164" t="s">
        <v>1631</v>
      </c>
      <c r="F164" t="s">
        <v>4055</v>
      </c>
    </row>
    <row r="165" spans="1:6">
      <c r="A165" t="s">
        <v>4057</v>
      </c>
      <c r="B165" t="s">
        <v>1631</v>
      </c>
      <c r="C165" t="s">
        <v>4055</v>
      </c>
      <c r="D165" t="s">
        <v>4058</v>
      </c>
      <c r="E165" t="s">
        <v>1631</v>
      </c>
      <c r="F165" t="s">
        <v>4055</v>
      </c>
    </row>
    <row r="166" spans="1:6">
      <c r="A166" t="s">
        <v>4059</v>
      </c>
      <c r="B166" t="s">
        <v>1631</v>
      </c>
      <c r="C166" t="s">
        <v>4055</v>
      </c>
      <c r="D166" t="s">
        <v>4060</v>
      </c>
      <c r="E166" t="s">
        <v>1631</v>
      </c>
      <c r="F166" t="s">
        <v>4055</v>
      </c>
    </row>
    <row r="167" spans="1:6">
      <c r="A167" t="s">
        <v>4061</v>
      </c>
      <c r="B167" t="s">
        <v>1631</v>
      </c>
      <c r="C167" t="s">
        <v>4055</v>
      </c>
      <c r="D167" t="s">
        <v>4062</v>
      </c>
      <c r="E167" t="s">
        <v>1631</v>
      </c>
      <c r="F167" t="s">
        <v>4063</v>
      </c>
    </row>
    <row r="168" spans="1:6">
      <c r="A168" t="s">
        <v>4064</v>
      </c>
      <c r="B168" t="s">
        <v>1631</v>
      </c>
      <c r="C168" t="s">
        <v>4065</v>
      </c>
      <c r="D168" t="s">
        <v>4066</v>
      </c>
      <c r="E168" t="s">
        <v>1631</v>
      </c>
      <c r="F168" t="s">
        <v>4067</v>
      </c>
    </row>
    <row r="169" spans="1:6">
      <c r="A169" t="s">
        <v>4068</v>
      </c>
      <c r="B169" t="s">
        <v>1631</v>
      </c>
      <c r="C169" t="s">
        <v>4069</v>
      </c>
      <c r="D169" t="s">
        <v>4070</v>
      </c>
      <c r="E169" t="s">
        <v>1631</v>
      </c>
      <c r="F169" t="s">
        <v>4071</v>
      </c>
    </row>
    <row r="170" spans="1:6">
      <c r="A170" t="s">
        <v>4072</v>
      </c>
      <c r="B170" t="s">
        <v>1631</v>
      </c>
      <c r="C170" t="s">
        <v>4073</v>
      </c>
      <c r="D170" t="s">
        <v>4074</v>
      </c>
      <c r="E170" t="s">
        <v>1631</v>
      </c>
      <c r="F170" t="s">
        <v>4075</v>
      </c>
    </row>
    <row r="171" spans="1:6">
      <c r="A171" t="s">
        <v>4076</v>
      </c>
      <c r="B171" t="s">
        <v>1631</v>
      </c>
      <c r="C171" t="s">
        <v>4075</v>
      </c>
      <c r="D171" t="s">
        <v>4077</v>
      </c>
      <c r="E171" t="s">
        <v>1631</v>
      </c>
      <c r="F171" t="s">
        <v>4078</v>
      </c>
    </row>
    <row r="172" spans="1:6">
      <c r="A172" t="s">
        <v>4079</v>
      </c>
      <c r="B172" t="s">
        <v>1631</v>
      </c>
      <c r="C172" t="s">
        <v>4080</v>
      </c>
      <c r="D172" t="s">
        <v>4081</v>
      </c>
      <c r="E172" t="s">
        <v>1631</v>
      </c>
      <c r="F172" t="s">
        <v>4082</v>
      </c>
    </row>
    <row r="173" spans="1:6">
      <c r="A173" t="s">
        <v>4083</v>
      </c>
      <c r="B173" t="s">
        <v>1631</v>
      </c>
      <c r="C173" t="s">
        <v>4082</v>
      </c>
      <c r="D173" t="s">
        <v>4084</v>
      </c>
      <c r="E173" t="s">
        <v>1631</v>
      </c>
      <c r="F173" t="s">
        <v>4085</v>
      </c>
    </row>
    <row r="174" spans="1:6">
      <c r="A174" t="s">
        <v>4086</v>
      </c>
      <c r="B174" t="s">
        <v>1631</v>
      </c>
      <c r="C174" t="s">
        <v>4087</v>
      </c>
      <c r="D174" t="s">
        <v>4088</v>
      </c>
      <c r="E174" t="s">
        <v>1631</v>
      </c>
      <c r="F174" t="s">
        <v>4089</v>
      </c>
    </row>
    <row r="175" spans="1:6">
      <c r="A175" t="s">
        <v>4090</v>
      </c>
      <c r="B175" t="s">
        <v>1631</v>
      </c>
      <c r="C175" t="s">
        <v>4091</v>
      </c>
      <c r="D175" t="s">
        <v>4092</v>
      </c>
      <c r="E175" t="s">
        <v>1631</v>
      </c>
      <c r="F175" t="s">
        <v>4093</v>
      </c>
    </row>
    <row r="176" spans="1:6">
      <c r="A176" t="s">
        <v>4094</v>
      </c>
      <c r="B176" t="s">
        <v>1631</v>
      </c>
      <c r="C176" t="s">
        <v>4095</v>
      </c>
      <c r="D176" t="s">
        <v>4096</v>
      </c>
      <c r="E176" t="s">
        <v>1631</v>
      </c>
      <c r="F176" t="s">
        <v>4097</v>
      </c>
    </row>
    <row r="177" spans="1:6">
      <c r="A177" t="s">
        <v>4098</v>
      </c>
      <c r="B177" t="s">
        <v>1631</v>
      </c>
      <c r="C177" t="s">
        <v>4099</v>
      </c>
      <c r="D177" t="s">
        <v>4100</v>
      </c>
      <c r="E177" t="s">
        <v>1631</v>
      </c>
      <c r="F177" t="s">
        <v>4101</v>
      </c>
    </row>
    <row r="178" spans="1:6">
      <c r="A178" t="s">
        <v>4102</v>
      </c>
      <c r="B178" t="s">
        <v>1631</v>
      </c>
      <c r="C178" t="s">
        <v>4101</v>
      </c>
      <c r="D178" t="s">
        <v>4103</v>
      </c>
      <c r="E178" t="s">
        <v>1631</v>
      </c>
      <c r="F178" t="s">
        <v>4104</v>
      </c>
    </row>
    <row r="179" spans="1:6">
      <c r="A179" t="s">
        <v>4105</v>
      </c>
      <c r="B179" t="s">
        <v>1631</v>
      </c>
      <c r="C179" t="s">
        <v>4104</v>
      </c>
      <c r="D179" t="s">
        <v>4106</v>
      </c>
      <c r="E179" t="s">
        <v>1631</v>
      </c>
      <c r="F179" t="s">
        <v>4107</v>
      </c>
    </row>
    <row r="180" spans="1:6">
      <c r="A180" t="s">
        <v>4108</v>
      </c>
      <c r="B180" t="s">
        <v>1631</v>
      </c>
      <c r="C180" t="s">
        <v>4107</v>
      </c>
      <c r="D180" t="s">
        <v>4109</v>
      </c>
      <c r="E180" t="s">
        <v>1631</v>
      </c>
      <c r="F180" t="s">
        <v>4110</v>
      </c>
    </row>
    <row r="181" spans="1:6">
      <c r="A181" t="s">
        <v>4111</v>
      </c>
      <c r="B181" t="s">
        <v>1631</v>
      </c>
      <c r="C181" t="s">
        <v>4112</v>
      </c>
      <c r="D181" t="s">
        <v>4113</v>
      </c>
      <c r="E181" t="s">
        <v>1631</v>
      </c>
      <c r="F181" t="s">
        <v>4114</v>
      </c>
    </row>
    <row r="182" spans="1:6">
      <c r="A182" t="s">
        <v>4115</v>
      </c>
      <c r="B182" t="s">
        <v>1631</v>
      </c>
      <c r="C182" t="s">
        <v>4116</v>
      </c>
      <c r="D182" t="s">
        <v>4117</v>
      </c>
      <c r="E182" t="s">
        <v>1631</v>
      </c>
      <c r="F182" t="s">
        <v>4118</v>
      </c>
    </row>
    <row r="183" spans="1:6">
      <c r="A183" t="s">
        <v>4119</v>
      </c>
      <c r="B183" t="s">
        <v>1631</v>
      </c>
      <c r="C183" t="s">
        <v>4120</v>
      </c>
      <c r="D183" t="s">
        <v>4121</v>
      </c>
      <c r="E183" t="s">
        <v>1631</v>
      </c>
      <c r="F183" t="s">
        <v>4122</v>
      </c>
    </row>
    <row r="184" spans="1:6">
      <c r="A184" t="s">
        <v>4123</v>
      </c>
      <c r="B184" t="s">
        <v>1631</v>
      </c>
      <c r="C184" t="s">
        <v>4124</v>
      </c>
      <c r="D184" t="s">
        <v>4125</v>
      </c>
      <c r="E184" t="s">
        <v>1631</v>
      </c>
      <c r="F184" t="s">
        <v>4120</v>
      </c>
    </row>
    <row r="185" spans="1:6">
      <c r="A185" t="s">
        <v>4126</v>
      </c>
      <c r="B185" t="s">
        <v>1631</v>
      </c>
      <c r="C185" t="s">
        <v>4127</v>
      </c>
      <c r="D185" t="s">
        <v>4128</v>
      </c>
      <c r="E185" t="s">
        <v>1631</v>
      </c>
      <c r="F185" t="s">
        <v>4129</v>
      </c>
    </row>
    <row r="186" spans="1:6">
      <c r="A186" t="s">
        <v>4130</v>
      </c>
      <c r="B186" t="s">
        <v>1631</v>
      </c>
      <c r="C186" t="s">
        <v>4131</v>
      </c>
      <c r="D186" t="s">
        <v>4132</v>
      </c>
      <c r="E186" t="s">
        <v>1631</v>
      </c>
      <c r="F186" t="s">
        <v>4133</v>
      </c>
    </row>
    <row r="187" spans="1:6">
      <c r="A187" t="s">
        <v>4134</v>
      </c>
      <c r="B187" t="s">
        <v>1631</v>
      </c>
      <c r="C187" t="s">
        <v>4133</v>
      </c>
      <c r="D187" t="s">
        <v>4135</v>
      </c>
      <c r="E187" t="s">
        <v>1631</v>
      </c>
      <c r="F187" t="s">
        <v>4133</v>
      </c>
    </row>
    <row r="188" spans="1:6">
      <c r="A188" t="s">
        <v>4136</v>
      </c>
      <c r="B188" t="s">
        <v>1631</v>
      </c>
      <c r="C188" t="s">
        <v>4133</v>
      </c>
      <c r="D188" t="s">
        <v>4137</v>
      </c>
      <c r="E188" t="s">
        <v>1631</v>
      </c>
      <c r="F188" t="s">
        <v>4138</v>
      </c>
    </row>
    <row r="189" spans="1:6">
      <c r="A189" t="s">
        <v>4139</v>
      </c>
      <c r="B189" t="s">
        <v>1631</v>
      </c>
      <c r="C189" t="s">
        <v>4140</v>
      </c>
      <c r="D189" t="s">
        <v>4141</v>
      </c>
      <c r="E189" t="s">
        <v>1631</v>
      </c>
      <c r="F189" t="s">
        <v>4142</v>
      </c>
    </row>
    <row r="190" spans="1:6">
      <c r="A190" t="s">
        <v>4143</v>
      </c>
      <c r="B190" t="s">
        <v>1631</v>
      </c>
      <c r="C190" t="s">
        <v>4144</v>
      </c>
      <c r="D190" t="s">
        <v>4145</v>
      </c>
      <c r="E190" t="s">
        <v>1631</v>
      </c>
      <c r="F190" t="s">
        <v>4146</v>
      </c>
    </row>
    <row r="191" spans="1:6">
      <c r="A191" t="s">
        <v>4147</v>
      </c>
      <c r="B191" t="s">
        <v>1631</v>
      </c>
      <c r="C191" t="s">
        <v>4148</v>
      </c>
      <c r="D191" t="s">
        <v>4149</v>
      </c>
      <c r="E191" t="s">
        <v>1631</v>
      </c>
      <c r="F191" t="s">
        <v>4148</v>
      </c>
    </row>
    <row r="192" spans="1:6">
      <c r="A192" t="s">
        <v>4150</v>
      </c>
      <c r="B192" t="s">
        <v>1631</v>
      </c>
      <c r="C192" t="s">
        <v>4148</v>
      </c>
      <c r="D192" t="s">
        <v>4151</v>
      </c>
      <c r="E192" t="s">
        <v>1631</v>
      </c>
      <c r="F192" t="s">
        <v>4148</v>
      </c>
    </row>
    <row r="193" spans="1:6">
      <c r="A193" t="s">
        <v>4152</v>
      </c>
    </row>
    <row r="194" spans="1:6">
      <c r="A194" t="s">
        <v>4153</v>
      </c>
      <c r="B194" t="s">
        <v>1631</v>
      </c>
      <c r="C194" t="s">
        <v>4154</v>
      </c>
      <c r="D194" t="s">
        <v>4155</v>
      </c>
      <c r="E194" t="s">
        <v>1631</v>
      </c>
      <c r="F194" t="s">
        <v>4156</v>
      </c>
    </row>
    <row r="195" spans="1:6">
      <c r="A195" t="s">
        <v>4157</v>
      </c>
      <c r="B195" t="s">
        <v>1631</v>
      </c>
      <c r="C195" t="s">
        <v>4158</v>
      </c>
      <c r="D195" t="s">
        <v>4159</v>
      </c>
      <c r="E195" t="s">
        <v>1631</v>
      </c>
      <c r="F195" t="s">
        <v>4160</v>
      </c>
    </row>
    <row r="196" spans="1:6">
      <c r="A196" t="s">
        <v>4161</v>
      </c>
      <c r="B196" t="s">
        <v>1631</v>
      </c>
      <c r="C196" t="s">
        <v>4162</v>
      </c>
      <c r="D196" t="s">
        <v>4163</v>
      </c>
      <c r="E196" t="s">
        <v>1631</v>
      </c>
      <c r="F196" t="s">
        <v>4164</v>
      </c>
    </row>
    <row r="197" spans="1:6">
      <c r="A197" t="s">
        <v>4165</v>
      </c>
      <c r="B197" t="s">
        <v>1631</v>
      </c>
      <c r="C197" t="s">
        <v>4166</v>
      </c>
      <c r="D197" t="s">
        <v>4167</v>
      </c>
      <c r="E197" t="s">
        <v>1631</v>
      </c>
      <c r="F197" t="s">
        <v>4168</v>
      </c>
    </row>
    <row r="198" spans="1:6">
      <c r="A198" t="s">
        <v>4169</v>
      </c>
      <c r="B198" t="s">
        <v>1631</v>
      </c>
      <c r="C198" t="s">
        <v>4170</v>
      </c>
      <c r="D198" t="s">
        <v>4171</v>
      </c>
      <c r="E198" t="s">
        <v>1631</v>
      </c>
      <c r="F198" t="s">
        <v>4172</v>
      </c>
    </row>
    <row r="199" spans="1:6">
      <c r="A199" t="s">
        <v>4173</v>
      </c>
    </row>
    <row r="200" spans="1:6">
      <c r="A200" t="s">
        <v>4174</v>
      </c>
      <c r="B200" t="s">
        <v>1631</v>
      </c>
      <c r="C200" t="s">
        <v>4175</v>
      </c>
      <c r="D200" t="s">
        <v>4176</v>
      </c>
      <c r="E200" t="s">
        <v>1631</v>
      </c>
      <c r="F200" t="s">
        <v>4177</v>
      </c>
    </row>
    <row r="201" spans="1:6">
      <c r="A201" t="s">
        <v>1602</v>
      </c>
      <c r="B201" t="s">
        <v>1631</v>
      </c>
      <c r="C201" t="s">
        <v>4178</v>
      </c>
      <c r="D201" t="s">
        <v>4179</v>
      </c>
      <c r="E201" t="s">
        <v>1631</v>
      </c>
      <c r="F201" t="s">
        <v>4180</v>
      </c>
    </row>
    <row r="202" spans="1:6">
      <c r="A202" t="s">
        <v>4181</v>
      </c>
      <c r="B202" t="s">
        <v>1631</v>
      </c>
      <c r="C202" t="s">
        <v>4182</v>
      </c>
      <c r="D202" t="s">
        <v>4183</v>
      </c>
      <c r="E202" t="s">
        <v>1631</v>
      </c>
      <c r="F202" t="s">
        <v>4184</v>
      </c>
    </row>
    <row r="203" spans="1:6">
      <c r="A203" t="s">
        <v>4185</v>
      </c>
    </row>
    <row r="204" spans="1:6">
      <c r="A204" t="s">
        <v>1657</v>
      </c>
      <c r="B204" t="s">
        <v>1619</v>
      </c>
      <c r="C204" t="s">
        <v>4186</v>
      </c>
      <c r="D204" t="s">
        <v>4187</v>
      </c>
      <c r="E204" t="s">
        <v>1619</v>
      </c>
      <c r="F204" t="s">
        <v>4188</v>
      </c>
    </row>
    <row r="205" spans="1:6">
      <c r="A205" t="s">
        <v>4189</v>
      </c>
      <c r="B205" t="s">
        <v>1631</v>
      </c>
      <c r="C205" t="s">
        <v>4190</v>
      </c>
      <c r="D205" t="s">
        <v>4191</v>
      </c>
      <c r="E205" t="s">
        <v>1631</v>
      </c>
      <c r="F205" t="s">
        <v>4192</v>
      </c>
    </row>
    <row r="206" spans="1:6">
      <c r="A206" t="s">
        <v>1394</v>
      </c>
      <c r="B206" t="s">
        <v>1631</v>
      </c>
      <c r="C206" t="s">
        <v>4193</v>
      </c>
      <c r="D206" t="s">
        <v>4194</v>
      </c>
      <c r="E206" t="s">
        <v>1631</v>
      </c>
      <c r="F206" t="s">
        <v>4195</v>
      </c>
    </row>
    <row r="207" spans="1:6">
      <c r="A207" t="s">
        <v>1645</v>
      </c>
      <c r="B207" t="s">
        <v>1631</v>
      </c>
      <c r="C207" t="s">
        <v>4193</v>
      </c>
      <c r="D207" t="s">
        <v>4196</v>
      </c>
      <c r="E207" t="s">
        <v>1631</v>
      </c>
      <c r="F207" t="s">
        <v>4197</v>
      </c>
    </row>
    <row r="208" spans="1:6">
      <c r="A208" t="s">
        <v>1604</v>
      </c>
      <c r="B208" t="s">
        <v>1631</v>
      </c>
      <c r="C208" t="s">
        <v>4193</v>
      </c>
      <c r="D208" t="s">
        <v>4198</v>
      </c>
      <c r="E208" t="s">
        <v>1631</v>
      </c>
      <c r="F208" t="s">
        <v>4199</v>
      </c>
    </row>
    <row r="209" spans="1:6">
      <c r="A209" t="s">
        <v>4200</v>
      </c>
    </row>
    <row r="210" spans="1:6">
      <c r="A210" t="s">
        <v>4201</v>
      </c>
      <c r="B210" t="s">
        <v>1631</v>
      </c>
      <c r="C210" t="s">
        <v>4202</v>
      </c>
      <c r="D210" t="s">
        <v>4203</v>
      </c>
      <c r="E210" t="s">
        <v>1631</v>
      </c>
      <c r="F210" t="s">
        <v>4204</v>
      </c>
    </row>
    <row r="211" spans="1:6">
      <c r="A211" t="s">
        <v>4205</v>
      </c>
      <c r="B211" t="s">
        <v>1631</v>
      </c>
      <c r="C211" t="s">
        <v>4206</v>
      </c>
      <c r="D211" t="s">
        <v>4207</v>
      </c>
      <c r="E211" t="s">
        <v>1631</v>
      </c>
      <c r="F211" t="s">
        <v>4208</v>
      </c>
    </row>
    <row r="212" spans="1:6">
      <c r="A212" t="s">
        <v>4209</v>
      </c>
      <c r="B212" t="s">
        <v>1631</v>
      </c>
      <c r="C212" t="s">
        <v>4210</v>
      </c>
      <c r="D212" t="s">
        <v>4211</v>
      </c>
      <c r="E212" t="s">
        <v>1631</v>
      </c>
      <c r="F212" t="s">
        <v>4212</v>
      </c>
    </row>
    <row r="213" spans="1:6">
      <c r="A213" t="s">
        <v>4213</v>
      </c>
      <c r="B213" t="s">
        <v>1631</v>
      </c>
      <c r="C213" t="s">
        <v>4214</v>
      </c>
      <c r="D213" t="s">
        <v>4215</v>
      </c>
      <c r="E213" t="s">
        <v>1631</v>
      </c>
      <c r="F213" t="s">
        <v>4216</v>
      </c>
    </row>
    <row r="214" spans="1:6">
      <c r="A214" t="s">
        <v>4217</v>
      </c>
      <c r="B214" t="s">
        <v>1631</v>
      </c>
      <c r="C214" t="s">
        <v>4218</v>
      </c>
      <c r="D214" t="s">
        <v>4219</v>
      </c>
      <c r="E214" t="s">
        <v>1631</v>
      </c>
      <c r="F214" t="s">
        <v>4220</v>
      </c>
    </row>
    <row r="215" spans="1:6">
      <c r="A215" t="s">
        <v>4221</v>
      </c>
    </row>
    <row r="216" spans="1:6">
      <c r="A216" t="s">
        <v>4222</v>
      </c>
      <c r="B216" t="s">
        <v>1619</v>
      </c>
      <c r="C216" t="s">
        <v>4223</v>
      </c>
      <c r="D216" t="s">
        <v>4224</v>
      </c>
      <c r="E216" t="s">
        <v>1619</v>
      </c>
      <c r="F216" t="s">
        <v>4225</v>
      </c>
    </row>
    <row r="217" spans="1:6">
      <c r="A217" t="s">
        <v>4226</v>
      </c>
      <c r="B217" t="s">
        <v>1619</v>
      </c>
      <c r="C217" t="s">
        <v>4227</v>
      </c>
      <c r="D217" t="s">
        <v>4228</v>
      </c>
      <c r="E217" t="s">
        <v>1619</v>
      </c>
      <c r="F217" t="s">
        <v>4229</v>
      </c>
    </row>
    <row r="218" spans="1:6">
      <c r="A218" t="s">
        <v>4230</v>
      </c>
      <c r="B218" t="s">
        <v>1631</v>
      </c>
      <c r="C218" t="s">
        <v>4231</v>
      </c>
      <c r="D218" t="s">
        <v>4232</v>
      </c>
      <c r="E218" t="s">
        <v>1631</v>
      </c>
      <c r="F218" t="s">
        <v>4233</v>
      </c>
    </row>
    <row r="219" spans="1:6">
      <c r="A219" t="s">
        <v>4234</v>
      </c>
      <c r="B219" t="s">
        <v>1631</v>
      </c>
      <c r="C219" t="s">
        <v>4235</v>
      </c>
      <c r="D219" t="s">
        <v>4236</v>
      </c>
      <c r="E219" t="s">
        <v>1631</v>
      </c>
      <c r="F219" t="s">
        <v>4237</v>
      </c>
    </row>
    <row r="220" spans="1:6">
      <c r="A220" t="s">
        <v>4238</v>
      </c>
      <c r="B220" t="s">
        <v>1631</v>
      </c>
      <c r="C220" t="s">
        <v>4235</v>
      </c>
      <c r="D220" t="s">
        <v>4239</v>
      </c>
      <c r="E220" t="s">
        <v>1631</v>
      </c>
      <c r="F220" t="s">
        <v>4240</v>
      </c>
    </row>
    <row r="221" spans="1:6">
      <c r="A221" t="s">
        <v>1634</v>
      </c>
      <c r="B221" t="s">
        <v>1631</v>
      </c>
      <c r="C221" t="s">
        <v>4241</v>
      </c>
      <c r="D221" t="s">
        <v>4242</v>
      </c>
      <c r="E221" t="s">
        <v>1631</v>
      </c>
      <c r="F221" t="s">
        <v>4243</v>
      </c>
    </row>
    <row r="222" spans="1:6">
      <c r="A222" t="s">
        <v>4244</v>
      </c>
    </row>
    <row r="223" spans="1:6">
      <c r="A223" t="s">
        <v>4245</v>
      </c>
      <c r="B223" t="s">
        <v>4246</v>
      </c>
      <c r="C223" t="s">
        <v>4247</v>
      </c>
      <c r="D223" t="s">
        <v>4248</v>
      </c>
      <c r="E223" t="s">
        <v>1631</v>
      </c>
      <c r="F223" t="s">
        <v>4249</v>
      </c>
    </row>
    <row r="224" spans="1:6">
      <c r="A224" t="s">
        <v>1645</v>
      </c>
      <c r="B224" t="s">
        <v>1647</v>
      </c>
      <c r="C224" t="s">
        <v>4250</v>
      </c>
      <c r="D224" t="s">
        <v>4251</v>
      </c>
      <c r="E224" t="s">
        <v>1631</v>
      </c>
      <c r="F224" t="s">
        <v>4252</v>
      </c>
    </row>
    <row r="225" spans="1:6">
      <c r="A225" t="s">
        <v>1648</v>
      </c>
      <c r="B225" t="s">
        <v>1647</v>
      </c>
      <c r="C225" t="s">
        <v>4250</v>
      </c>
      <c r="D225" t="s">
        <v>4253</v>
      </c>
      <c r="E225" t="s">
        <v>1631</v>
      </c>
      <c r="F225" t="s">
        <v>4254</v>
      </c>
    </row>
    <row r="226" spans="1:6">
      <c r="A226" t="s">
        <v>4255</v>
      </c>
      <c r="B226" t="s">
        <v>3811</v>
      </c>
      <c r="C226" t="s">
        <v>4256</v>
      </c>
      <c r="D226" t="s">
        <v>4257</v>
      </c>
      <c r="E226" t="s">
        <v>1631</v>
      </c>
      <c r="F226" t="s">
        <v>4258</v>
      </c>
    </row>
    <row r="227" spans="1:6">
      <c r="A227" t="s">
        <v>4259</v>
      </c>
      <c r="B227" t="s">
        <v>1631</v>
      </c>
      <c r="C227" t="s">
        <v>4260</v>
      </c>
      <c r="D227" t="s">
        <v>4261</v>
      </c>
      <c r="E227" t="s">
        <v>1631</v>
      </c>
      <c r="F227" t="s">
        <v>4262</v>
      </c>
    </row>
    <row r="228" spans="1:6">
      <c r="A228" t="s">
        <v>4263</v>
      </c>
    </row>
    <row r="229" spans="1:6">
      <c r="A229" t="s">
        <v>4264</v>
      </c>
      <c r="B229" t="s">
        <v>1631</v>
      </c>
      <c r="C229" t="s">
        <v>4265</v>
      </c>
      <c r="D229" t="s">
        <v>4266</v>
      </c>
      <c r="E229" t="s">
        <v>1631</v>
      </c>
      <c r="F229" t="s">
        <v>4267</v>
      </c>
    </row>
    <row r="230" spans="1:6">
      <c r="A230" t="s">
        <v>4268</v>
      </c>
      <c r="B230" t="s">
        <v>1631</v>
      </c>
      <c r="C230" t="s">
        <v>4265</v>
      </c>
      <c r="D230" t="s">
        <v>4269</v>
      </c>
      <c r="E230" t="s">
        <v>1631</v>
      </c>
      <c r="F230" t="s">
        <v>4270</v>
      </c>
    </row>
    <row r="231" spans="1:6">
      <c r="A231" t="s">
        <v>4271</v>
      </c>
      <c r="B231" t="s">
        <v>1631</v>
      </c>
      <c r="C231" t="s">
        <v>4272</v>
      </c>
      <c r="D231" t="s">
        <v>4273</v>
      </c>
      <c r="E231" t="s">
        <v>1631</v>
      </c>
      <c r="F231" t="s">
        <v>4274</v>
      </c>
    </row>
    <row r="232" spans="1:6">
      <c r="A232" t="s">
        <v>4275</v>
      </c>
      <c r="B232" t="s">
        <v>1631</v>
      </c>
      <c r="C232" t="s">
        <v>4276</v>
      </c>
      <c r="D232" t="s">
        <v>4277</v>
      </c>
      <c r="E232" t="s">
        <v>1631</v>
      </c>
      <c r="F232" t="s">
        <v>4278</v>
      </c>
    </row>
    <row r="233" spans="1:6">
      <c r="A233" t="s">
        <v>4279</v>
      </c>
    </row>
    <row r="234" spans="1:6">
      <c r="A234" t="s">
        <v>4280</v>
      </c>
      <c r="B234" t="s">
        <v>1631</v>
      </c>
      <c r="C234" t="s">
        <v>4281</v>
      </c>
      <c r="D234" t="s">
        <v>4282</v>
      </c>
      <c r="E234" t="s">
        <v>1631</v>
      </c>
      <c r="F234" t="s">
        <v>4283</v>
      </c>
    </row>
    <row r="235" spans="1:6">
      <c r="A235" t="s">
        <v>4284</v>
      </c>
      <c r="B235" t="s">
        <v>1631</v>
      </c>
      <c r="C235" t="s">
        <v>4285</v>
      </c>
      <c r="D235" t="s">
        <v>4286</v>
      </c>
      <c r="E235" t="s">
        <v>1631</v>
      </c>
      <c r="F235" t="s">
        <v>4287</v>
      </c>
    </row>
    <row r="236" spans="1:6">
      <c r="A236" t="s">
        <v>2806</v>
      </c>
      <c r="B236" t="s">
        <v>1619</v>
      </c>
      <c r="C236" t="s">
        <v>4288</v>
      </c>
      <c r="D236" t="s">
        <v>4289</v>
      </c>
      <c r="E236" t="s">
        <v>1631</v>
      </c>
      <c r="F236" t="s">
        <v>4290</v>
      </c>
    </row>
    <row r="237" spans="1:6">
      <c r="A237" t="s">
        <v>4291</v>
      </c>
      <c r="B237" t="s">
        <v>1631</v>
      </c>
      <c r="C237" t="s">
        <v>4292</v>
      </c>
      <c r="D237" t="s">
        <v>4293</v>
      </c>
      <c r="E237" t="s">
        <v>1631</v>
      </c>
      <c r="F237" t="s">
        <v>4294</v>
      </c>
    </row>
    <row r="238" spans="1:6">
      <c r="A238" t="s">
        <v>2030</v>
      </c>
      <c r="B238" t="s">
        <v>1631</v>
      </c>
      <c r="C238" t="s">
        <v>4295</v>
      </c>
      <c r="D238" t="s">
        <v>4296</v>
      </c>
      <c r="E238" t="s">
        <v>1631</v>
      </c>
      <c r="F238" t="s">
        <v>4297</v>
      </c>
    </row>
    <row r="239" spans="1:6">
      <c r="A239" t="s">
        <v>4298</v>
      </c>
    </row>
    <row r="240" spans="1:6">
      <c r="A240" t="s">
        <v>4299</v>
      </c>
      <c r="B240" t="s">
        <v>1631</v>
      </c>
      <c r="C240" t="s">
        <v>4300</v>
      </c>
      <c r="D240" t="s">
        <v>4301</v>
      </c>
      <c r="E240" t="s">
        <v>1631</v>
      </c>
      <c r="F240" t="s">
        <v>4302</v>
      </c>
    </row>
    <row r="241" spans="1:6">
      <c r="A241" t="s">
        <v>4303</v>
      </c>
      <c r="B241" t="s">
        <v>1631</v>
      </c>
      <c r="C241" t="s">
        <v>4304</v>
      </c>
      <c r="D241" t="s">
        <v>4305</v>
      </c>
      <c r="E241" t="s">
        <v>1631</v>
      </c>
      <c r="F241" t="s">
        <v>4306</v>
      </c>
    </row>
    <row r="242" spans="1:6">
      <c r="A242" t="s">
        <v>4307</v>
      </c>
      <c r="B242" t="s">
        <v>1631</v>
      </c>
      <c r="C242" t="s">
        <v>4308</v>
      </c>
      <c r="D242" t="s">
        <v>4309</v>
      </c>
      <c r="E242" t="s">
        <v>1631</v>
      </c>
      <c r="F242" t="s">
        <v>4310</v>
      </c>
    </row>
    <row r="243" spans="1:6">
      <c r="A243" t="s">
        <v>2030</v>
      </c>
      <c r="B243" t="s">
        <v>1631</v>
      </c>
      <c r="C243" t="s">
        <v>4295</v>
      </c>
      <c r="D243" t="s">
        <v>4311</v>
      </c>
      <c r="E243" t="s">
        <v>1631</v>
      </c>
      <c r="F243" t="s">
        <v>4312</v>
      </c>
    </row>
    <row r="244" spans="1:6">
      <c r="A244" t="s">
        <v>4313</v>
      </c>
    </row>
    <row r="245" spans="1:6">
      <c r="A245" t="s">
        <v>4314</v>
      </c>
      <c r="B245" t="s">
        <v>1631</v>
      </c>
      <c r="C245" t="s">
        <v>4315</v>
      </c>
      <c r="D245" t="s">
        <v>4316</v>
      </c>
      <c r="E245" t="s">
        <v>1631</v>
      </c>
      <c r="F245" t="s">
        <v>4317</v>
      </c>
    </row>
    <row r="246" spans="1:6">
      <c r="A246" t="s">
        <v>4318</v>
      </c>
      <c r="B246" t="s">
        <v>1631</v>
      </c>
      <c r="C246" t="s">
        <v>4319</v>
      </c>
      <c r="D246" t="s">
        <v>4320</v>
      </c>
      <c r="E246" t="s">
        <v>1631</v>
      </c>
      <c r="F246" t="s">
        <v>4321</v>
      </c>
    </row>
    <row r="247" spans="1:6">
      <c r="A247" t="s">
        <v>4322</v>
      </c>
      <c r="B247" t="s">
        <v>1631</v>
      </c>
      <c r="C247" t="s">
        <v>4323</v>
      </c>
      <c r="D247" t="s">
        <v>4324</v>
      </c>
      <c r="E247" t="s">
        <v>1631</v>
      </c>
    </row>
    <row r="248" spans="1:6">
      <c r="A248" t="s">
        <v>4325</v>
      </c>
      <c r="B248" t="s">
        <v>1631</v>
      </c>
      <c r="C248" t="s">
        <v>4323</v>
      </c>
      <c r="D248" t="s">
        <v>4324</v>
      </c>
      <c r="E248" t="s">
        <v>1631</v>
      </c>
    </row>
    <row r="249" spans="1:6">
      <c r="A249" t="s">
        <v>2030</v>
      </c>
      <c r="B249" t="s">
        <v>1631</v>
      </c>
      <c r="C249" t="s">
        <v>4295</v>
      </c>
      <c r="D249" t="s">
        <v>4326</v>
      </c>
      <c r="E249" t="s">
        <v>1631</v>
      </c>
      <c r="F249" t="s">
        <v>4297</v>
      </c>
    </row>
    <row r="250" spans="1:6">
      <c r="A250" t="s">
        <v>4327</v>
      </c>
    </row>
    <row r="251" spans="1:6">
      <c r="A251" t="s">
        <v>4328</v>
      </c>
      <c r="B251" t="s">
        <v>1631</v>
      </c>
      <c r="C251" t="s">
        <v>4329</v>
      </c>
      <c r="D251" t="s">
        <v>4330</v>
      </c>
      <c r="E251" t="s">
        <v>1631</v>
      </c>
      <c r="F251" t="s">
        <v>4331</v>
      </c>
    </row>
    <row r="252" spans="1:6">
      <c r="A252" t="s">
        <v>4332</v>
      </c>
      <c r="B252" t="s">
        <v>1631</v>
      </c>
      <c r="C252" t="s">
        <v>4333</v>
      </c>
      <c r="D252" t="s">
        <v>4334</v>
      </c>
      <c r="E252" t="s">
        <v>1631</v>
      </c>
      <c r="F252" t="s">
        <v>4335</v>
      </c>
    </row>
    <row r="253" spans="1:6">
      <c r="A253" t="s">
        <v>4336</v>
      </c>
      <c r="B253" t="s">
        <v>1631</v>
      </c>
      <c r="C253" t="s">
        <v>4337</v>
      </c>
      <c r="D253" t="s">
        <v>4338</v>
      </c>
      <c r="E253" t="s">
        <v>1631</v>
      </c>
    </row>
    <row r="254" spans="1:6">
      <c r="A254" t="s">
        <v>4339</v>
      </c>
      <c r="B254" t="s">
        <v>1631</v>
      </c>
      <c r="C254" t="s">
        <v>1807</v>
      </c>
      <c r="D254" t="s">
        <v>4340</v>
      </c>
      <c r="E254" t="s">
        <v>1631</v>
      </c>
      <c r="F254" t="s">
        <v>4341</v>
      </c>
    </row>
    <row r="255" spans="1:6">
      <c r="A255" t="s">
        <v>4342</v>
      </c>
      <c r="B255" t="s">
        <v>1631</v>
      </c>
      <c r="C255" t="s">
        <v>4343</v>
      </c>
      <c r="D255" t="s">
        <v>4344</v>
      </c>
      <c r="E255" t="s">
        <v>1631</v>
      </c>
      <c r="F255" t="s">
        <v>4345</v>
      </c>
    </row>
    <row r="256" spans="1:6">
      <c r="A256" t="s">
        <v>2030</v>
      </c>
      <c r="B256" t="s">
        <v>1631</v>
      </c>
      <c r="C256" t="s">
        <v>4295</v>
      </c>
      <c r="D256" t="s">
        <v>4346</v>
      </c>
      <c r="E256" t="s">
        <v>1631</v>
      </c>
      <c r="F256" t="s">
        <v>4297</v>
      </c>
    </row>
    <row r="257" spans="1:6">
      <c r="A257" t="s">
        <v>4347</v>
      </c>
    </row>
    <row r="258" spans="1:6">
      <c r="A258" t="s">
        <v>4348</v>
      </c>
      <c r="B258" t="s">
        <v>1631</v>
      </c>
      <c r="C258" t="s">
        <v>4349</v>
      </c>
      <c r="D258" t="s">
        <v>4350</v>
      </c>
      <c r="E258" t="s">
        <v>1631</v>
      </c>
      <c r="F258" t="s">
        <v>4351</v>
      </c>
    </row>
    <row r="259" spans="1:6">
      <c r="A259" t="s">
        <v>4352</v>
      </c>
      <c r="B259" t="s">
        <v>1631</v>
      </c>
      <c r="C259" t="s">
        <v>4353</v>
      </c>
      <c r="D259" t="s">
        <v>4354</v>
      </c>
      <c r="E259" t="s">
        <v>1631</v>
      </c>
      <c r="F259" t="s">
        <v>4355</v>
      </c>
    </row>
    <row r="260" spans="1:6">
      <c r="A260" t="s">
        <v>4356</v>
      </c>
      <c r="B260" t="s">
        <v>1631</v>
      </c>
      <c r="C260" t="s">
        <v>4357</v>
      </c>
      <c r="D260" t="s">
        <v>4358</v>
      </c>
      <c r="E260" t="s">
        <v>1631</v>
      </c>
      <c r="F260" t="s">
        <v>4359</v>
      </c>
    </row>
    <row r="261" spans="1:6">
      <c r="A261" t="s">
        <v>4360</v>
      </c>
      <c r="B261" t="s">
        <v>1631</v>
      </c>
      <c r="C261" t="s">
        <v>4361</v>
      </c>
      <c r="D261" t="s">
        <v>4362</v>
      </c>
      <c r="E261" t="s">
        <v>1631</v>
      </c>
    </row>
    <row r="262" spans="1:6">
      <c r="A262" t="s">
        <v>4363</v>
      </c>
      <c r="B262" t="s">
        <v>1631</v>
      </c>
      <c r="C262" t="s">
        <v>4364</v>
      </c>
      <c r="D262" t="s">
        <v>4365</v>
      </c>
      <c r="E262" t="s">
        <v>1631</v>
      </c>
      <c r="F262" t="s">
        <v>4366</v>
      </c>
    </row>
    <row r="263" spans="1:6">
      <c r="A263" t="s">
        <v>4367</v>
      </c>
      <c r="B263" t="s">
        <v>1631</v>
      </c>
      <c r="C263" t="s">
        <v>4368</v>
      </c>
      <c r="D263" t="s">
        <v>4369</v>
      </c>
      <c r="E263" t="s">
        <v>1631</v>
      </c>
      <c r="F263" t="s">
        <v>4345</v>
      </c>
    </row>
    <row r="264" spans="1:6">
      <c r="A264" t="s">
        <v>2030</v>
      </c>
      <c r="B264" t="s">
        <v>1631</v>
      </c>
      <c r="C264" t="s">
        <v>4295</v>
      </c>
      <c r="D264" t="s">
        <v>4370</v>
      </c>
      <c r="E264" t="s">
        <v>1631</v>
      </c>
      <c r="F264" t="s">
        <v>4297</v>
      </c>
    </row>
    <row r="265" spans="1:6">
      <c r="A265" t="s">
        <v>4371</v>
      </c>
    </row>
    <row r="266" spans="1:6">
      <c r="A266" t="s">
        <v>4372</v>
      </c>
      <c r="B266" t="s">
        <v>1631</v>
      </c>
      <c r="C266">
        <v>61</v>
      </c>
      <c r="D266" t="s">
        <v>4373</v>
      </c>
      <c r="E266" t="s">
        <v>1631</v>
      </c>
    </row>
    <row r="267" spans="1:6">
      <c r="A267" t="s">
        <v>4374</v>
      </c>
      <c r="B267" t="s">
        <v>1631</v>
      </c>
      <c r="C267" t="s">
        <v>4375</v>
      </c>
      <c r="D267" t="s">
        <v>4376</v>
      </c>
      <c r="E267" t="s">
        <v>1631</v>
      </c>
      <c r="F267" t="s">
        <v>4146</v>
      </c>
    </row>
    <row r="268" spans="1:6">
      <c r="A268" t="s">
        <v>4377</v>
      </c>
      <c r="B268" t="s">
        <v>1631</v>
      </c>
      <c r="C268" t="s">
        <v>4378</v>
      </c>
      <c r="D268" t="s">
        <v>4379</v>
      </c>
      <c r="E268" t="s">
        <v>1631</v>
      </c>
      <c r="F268" t="s">
        <v>4146</v>
      </c>
    </row>
    <row r="269" spans="1:6">
      <c r="A269" t="s">
        <v>4380</v>
      </c>
      <c r="B269" t="s">
        <v>1631</v>
      </c>
      <c r="C269" t="s">
        <v>4381</v>
      </c>
      <c r="D269" t="s">
        <v>4382</v>
      </c>
      <c r="E269" t="s">
        <v>1631</v>
      </c>
      <c r="F269" t="s">
        <v>4146</v>
      </c>
    </row>
    <row r="270" spans="1:6">
      <c r="A270" t="s">
        <v>4383</v>
      </c>
      <c r="B270" t="s">
        <v>1631</v>
      </c>
      <c r="C270" t="s">
        <v>929</v>
      </c>
      <c r="D270" t="s">
        <v>4384</v>
      </c>
      <c r="E270" t="s">
        <v>1631</v>
      </c>
    </row>
    <row r="271" spans="1:6">
      <c r="A271" t="s">
        <v>4385</v>
      </c>
      <c r="B271" t="s">
        <v>1631</v>
      </c>
      <c r="C271" t="s">
        <v>4386</v>
      </c>
      <c r="D271" t="s">
        <v>4387</v>
      </c>
      <c r="E271" t="s">
        <v>1631</v>
      </c>
    </row>
    <row r="272" spans="1:6">
      <c r="A272" t="s">
        <v>4388</v>
      </c>
      <c r="B272" t="s">
        <v>1631</v>
      </c>
      <c r="C272" t="s">
        <v>4389</v>
      </c>
      <c r="D272" t="s">
        <v>4390</v>
      </c>
      <c r="E272" t="s">
        <v>1631</v>
      </c>
    </row>
    <row r="273" spans="1:6">
      <c r="A273" t="s">
        <v>941</v>
      </c>
      <c r="B273" t="s">
        <v>1631</v>
      </c>
      <c r="C273" t="s">
        <v>1768</v>
      </c>
      <c r="D273" t="s">
        <v>4391</v>
      </c>
      <c r="E273" t="s">
        <v>1631</v>
      </c>
    </row>
    <row r="274" spans="1:6">
      <c r="A274" t="s">
        <v>2030</v>
      </c>
      <c r="B274" t="s">
        <v>1631</v>
      </c>
      <c r="C274" t="s">
        <v>4295</v>
      </c>
      <c r="D274" t="s">
        <v>4392</v>
      </c>
      <c r="E274" t="s">
        <v>1631</v>
      </c>
      <c r="F274" t="s">
        <v>1774</v>
      </c>
    </row>
    <row r="275" spans="1:6">
      <c r="A275" t="s">
        <v>4393</v>
      </c>
    </row>
    <row r="276" spans="1:6">
      <c r="A276" t="s">
        <v>4394</v>
      </c>
      <c r="B276" t="s">
        <v>1631</v>
      </c>
      <c r="C276" t="s">
        <v>4395</v>
      </c>
      <c r="D276" t="s">
        <v>4396</v>
      </c>
      <c r="E276" t="s">
        <v>1631</v>
      </c>
      <c r="F276" t="s">
        <v>4397</v>
      </c>
    </row>
    <row r="277" spans="1:6">
      <c r="A277" t="s">
        <v>4398</v>
      </c>
      <c r="B277" t="s">
        <v>1631</v>
      </c>
      <c r="C277" t="s">
        <v>4399</v>
      </c>
      <c r="D277" t="s">
        <v>4400</v>
      </c>
      <c r="E277" t="s">
        <v>1631</v>
      </c>
      <c r="F277" t="s">
        <v>4401</v>
      </c>
    </row>
    <row r="278" spans="1:6">
      <c r="A278" t="s">
        <v>4402</v>
      </c>
    </row>
    <row r="279" spans="1:6">
      <c r="A279" t="s">
        <v>4403</v>
      </c>
      <c r="B279" t="s">
        <v>1631</v>
      </c>
      <c r="C279" t="s">
        <v>4404</v>
      </c>
      <c r="D279" t="s">
        <v>4405</v>
      </c>
      <c r="E279" t="s">
        <v>1631</v>
      </c>
    </row>
    <row r="280" spans="1:6" ht="6" customHeight="1">
      <c r="A280" s="1" t="s">
        <v>4406</v>
      </c>
      <c r="B280" s="1" t="s">
        <v>1631</v>
      </c>
      <c r="C280" s="1" t="s">
        <v>4407</v>
      </c>
      <c r="D280" s="1" t="s">
        <v>4408</v>
      </c>
      <c r="E280" s="1" t="s">
        <v>1631</v>
      </c>
      <c r="F280" s="1" t="s">
        <v>4409</v>
      </c>
    </row>
    <row r="281" spans="1:6" ht="6" customHeight="1">
      <c r="A281" s="1" t="s">
        <v>4410</v>
      </c>
      <c r="B281" s="1" t="s">
        <v>1631</v>
      </c>
      <c r="C281" s="1" t="s">
        <v>4411</v>
      </c>
      <c r="D281" s="1" t="s">
        <v>4412</v>
      </c>
      <c r="E281" s="1" t="s">
        <v>1631</v>
      </c>
      <c r="F281" s="1" t="s">
        <v>4413</v>
      </c>
    </row>
    <row r="282" spans="1:6" ht="6" customHeight="1">
      <c r="A282" s="1" t="s">
        <v>4414</v>
      </c>
      <c r="B282" s="1" t="s">
        <v>1631</v>
      </c>
      <c r="C282" s="1" t="s">
        <v>4415</v>
      </c>
      <c r="D282" s="1" t="s">
        <v>4416</v>
      </c>
      <c r="E282" s="1" t="s">
        <v>1631</v>
      </c>
      <c r="F282" s="1" t="s">
        <v>4417</v>
      </c>
    </row>
    <row r="283" spans="1:6" ht="6" customHeight="1">
      <c r="A283" s="1" t="s">
        <v>4418</v>
      </c>
      <c r="B283" s="1" t="s">
        <v>1631</v>
      </c>
      <c r="C283" s="1" t="s">
        <v>4419</v>
      </c>
      <c r="D283" s="1" t="s">
        <v>4420</v>
      </c>
      <c r="E283" s="1" t="s">
        <v>1631</v>
      </c>
      <c r="F283" s="1" t="s">
        <v>4421</v>
      </c>
    </row>
    <row r="284" spans="1:6" ht="6" customHeight="1">
      <c r="A284" s="1" t="s">
        <v>4422</v>
      </c>
      <c r="B284" s="1" t="s">
        <v>1631</v>
      </c>
      <c r="C284" s="1" t="s">
        <v>4423</v>
      </c>
      <c r="D284" s="1" t="s">
        <v>4424</v>
      </c>
      <c r="E284" s="1" t="s">
        <v>1631</v>
      </c>
      <c r="F284" s="1" t="s">
        <v>4425</v>
      </c>
    </row>
    <row r="285" spans="1:6" ht="6" customHeight="1">
      <c r="A285" s="1" t="s">
        <v>4426</v>
      </c>
      <c r="B285" s="1" t="s">
        <v>1631</v>
      </c>
      <c r="C285" s="1" t="s">
        <v>4427</v>
      </c>
      <c r="D285" s="1" t="s">
        <v>4428</v>
      </c>
      <c r="E285" s="1" t="s">
        <v>1631</v>
      </c>
      <c r="F285" s="1" t="s">
        <v>4429</v>
      </c>
    </row>
    <row r="286" spans="1:6" ht="6" customHeight="1">
      <c r="A286" s="1" t="s">
        <v>4430</v>
      </c>
      <c r="B286" s="1" t="s">
        <v>1631</v>
      </c>
      <c r="C286" s="1" t="s">
        <v>4431</v>
      </c>
      <c r="D286" s="1" t="s">
        <v>4432</v>
      </c>
      <c r="E286" s="1" t="s">
        <v>1631</v>
      </c>
      <c r="F286" s="1" t="s">
        <v>4433</v>
      </c>
    </row>
    <row r="287" spans="1:6" ht="6" customHeight="1">
      <c r="A287" s="1" t="s">
        <v>2030</v>
      </c>
      <c r="B287" s="1" t="s">
        <v>1631</v>
      </c>
      <c r="C287" s="1" t="s">
        <v>4434</v>
      </c>
      <c r="D287" s="1" t="s">
        <v>4435</v>
      </c>
      <c r="E287" s="1" t="s">
        <v>1631</v>
      </c>
      <c r="F287" s="1" t="s">
        <v>4436</v>
      </c>
    </row>
    <row r="288" spans="1:6" ht="6" customHeight="1">
      <c r="A288" s="1" t="s">
        <v>4437</v>
      </c>
      <c r="B288" s="1" t="s">
        <v>1631</v>
      </c>
      <c r="C288" s="1" t="s">
        <v>4438</v>
      </c>
      <c r="D288" s="1" t="s">
        <v>4439</v>
      </c>
      <c r="E288" s="1" t="s">
        <v>1631</v>
      </c>
      <c r="F288" s="1" t="s">
        <v>4440</v>
      </c>
    </row>
    <row r="289" spans="1:6" ht="6" customHeight="1">
      <c r="A289" s="1" t="s">
        <v>4441</v>
      </c>
      <c r="B289" s="1" t="s">
        <v>1631</v>
      </c>
      <c r="C289" s="1" t="s">
        <v>4442</v>
      </c>
      <c r="D289" s="1" t="s">
        <v>4443</v>
      </c>
      <c r="E289" s="1" t="s">
        <v>1631</v>
      </c>
      <c r="F289" s="1" t="s">
        <v>4444</v>
      </c>
    </row>
    <row r="290" spans="1:6" ht="6" customHeight="1">
      <c r="A290" s="1" t="s">
        <v>4445</v>
      </c>
      <c r="B290" s="1"/>
      <c r="C290" s="1"/>
      <c r="D290" s="1"/>
      <c r="E290" s="1"/>
      <c r="F290" s="1"/>
    </row>
    <row r="291" spans="1:6" ht="6" customHeight="1">
      <c r="A291" s="1" t="s">
        <v>4446</v>
      </c>
      <c r="B291" s="1" t="s">
        <v>1631</v>
      </c>
      <c r="C291" s="1" t="s">
        <v>4447</v>
      </c>
      <c r="D291" s="1" t="s">
        <v>4448</v>
      </c>
      <c r="E291" s="1" t="s">
        <v>1631</v>
      </c>
      <c r="F291" s="1" t="s">
        <v>4449</v>
      </c>
    </row>
    <row r="292" spans="1:6" ht="6" customHeight="1">
      <c r="A292" s="1" t="s">
        <v>4234</v>
      </c>
      <c r="B292" s="1" t="s">
        <v>1631</v>
      </c>
      <c r="C292" s="1" t="s">
        <v>4450</v>
      </c>
      <c r="D292" s="1" t="s">
        <v>4451</v>
      </c>
      <c r="E292" s="1" t="s">
        <v>1631</v>
      </c>
      <c r="F292" s="1" t="s">
        <v>4452</v>
      </c>
    </row>
    <row r="293" spans="1:6" ht="6" customHeight="1">
      <c r="A293" s="1" t="s">
        <v>4453</v>
      </c>
      <c r="B293" s="1" t="s">
        <v>1631</v>
      </c>
      <c r="C293" s="1" t="s">
        <v>4454</v>
      </c>
      <c r="D293" s="1" t="s">
        <v>4455</v>
      </c>
      <c r="E293" s="1" t="s">
        <v>1631</v>
      </c>
      <c r="F293" s="1" t="s">
        <v>4456</v>
      </c>
    </row>
    <row r="294" spans="1:6" ht="6" customHeight="1">
      <c r="A294" s="1" t="s">
        <v>4457</v>
      </c>
      <c r="B294" s="1" t="s">
        <v>1631</v>
      </c>
      <c r="C294" s="1" t="s">
        <v>4458</v>
      </c>
      <c r="D294" s="1" t="s">
        <v>4459</v>
      </c>
      <c r="E294" s="1" t="s">
        <v>1631</v>
      </c>
      <c r="F294" s="1" t="s">
        <v>4460</v>
      </c>
    </row>
    <row r="295" spans="1:6" ht="6" customHeight="1">
      <c r="A295" s="1" t="s">
        <v>4461</v>
      </c>
      <c r="B295" s="1"/>
      <c r="C295" s="1"/>
      <c r="D295" s="1"/>
      <c r="E295" s="1"/>
      <c r="F295" s="1"/>
    </row>
    <row r="296" spans="1:6" ht="6" customHeight="1">
      <c r="A296" s="1" t="s">
        <v>4462</v>
      </c>
      <c r="B296" s="1" t="s">
        <v>1631</v>
      </c>
      <c r="C296" s="1" t="s">
        <v>4463</v>
      </c>
      <c r="D296" s="1" t="s">
        <v>4464</v>
      </c>
      <c r="E296" s="1" t="s">
        <v>1631</v>
      </c>
      <c r="F296" s="1" t="s">
        <v>4465</v>
      </c>
    </row>
    <row r="297" spans="1:6" ht="6" customHeight="1">
      <c r="A297" s="1" t="s">
        <v>4466</v>
      </c>
      <c r="B297" s="1" t="s">
        <v>1631</v>
      </c>
      <c r="C297" s="1" t="s">
        <v>4467</v>
      </c>
      <c r="D297" s="1" t="s">
        <v>4468</v>
      </c>
      <c r="E297" s="1" t="s">
        <v>1631</v>
      </c>
      <c r="F297" s="1" t="s">
        <v>4469</v>
      </c>
    </row>
    <row r="298" spans="1:6" ht="6" customHeight="1">
      <c r="A298" s="1" t="s">
        <v>4470</v>
      </c>
      <c r="B298" s="1" t="s">
        <v>1631</v>
      </c>
      <c r="C298" s="1" t="s">
        <v>4471</v>
      </c>
      <c r="D298" s="1" t="s">
        <v>4472</v>
      </c>
      <c r="E298" s="1" t="s">
        <v>1631</v>
      </c>
      <c r="F298" s="1" t="s">
        <v>4473</v>
      </c>
    </row>
    <row r="299" spans="1:6" ht="6" customHeight="1">
      <c r="A299" s="1" t="s">
        <v>4474</v>
      </c>
      <c r="B299" s="1" t="s">
        <v>1631</v>
      </c>
      <c r="C299" s="1" t="s">
        <v>4475</v>
      </c>
      <c r="D299" s="1" t="s">
        <v>4476</v>
      </c>
      <c r="E299" s="1" t="s">
        <v>1631</v>
      </c>
      <c r="F299" s="1" t="s">
        <v>4477</v>
      </c>
    </row>
    <row r="300" spans="1:6" ht="6" customHeight="1">
      <c r="A300" s="1" t="s">
        <v>4478</v>
      </c>
      <c r="B300" s="1"/>
      <c r="C300" s="1"/>
      <c r="D300" s="1"/>
      <c r="E300" s="1"/>
      <c r="F300" s="1"/>
    </row>
    <row r="301" spans="1:6" ht="6" customHeight="1">
      <c r="A301" s="1" t="s">
        <v>4479</v>
      </c>
      <c r="B301" s="1" t="s">
        <v>1631</v>
      </c>
      <c r="C301" s="1" t="s">
        <v>1834</v>
      </c>
      <c r="D301" s="1" t="s">
        <v>4480</v>
      </c>
      <c r="E301" s="1" t="s">
        <v>1631</v>
      </c>
      <c r="F301" s="1" t="s">
        <v>4481</v>
      </c>
    </row>
    <row r="302" spans="1:6" ht="6" customHeight="1">
      <c r="A302" s="1" t="s">
        <v>4482</v>
      </c>
      <c r="B302" s="1" t="s">
        <v>1631</v>
      </c>
      <c r="C302" s="1" t="s">
        <v>4483</v>
      </c>
      <c r="D302" s="1" t="s">
        <v>4484</v>
      </c>
      <c r="E302" s="1" t="s">
        <v>1631</v>
      </c>
      <c r="F302" s="1" t="s">
        <v>4485</v>
      </c>
    </row>
    <row r="303" spans="1:6" ht="6" customHeight="1">
      <c r="A303" s="1" t="s">
        <v>4486</v>
      </c>
      <c r="B303" s="1"/>
      <c r="C303" s="1"/>
      <c r="D303" s="1"/>
      <c r="E303" s="1"/>
      <c r="F303" s="1"/>
    </row>
    <row r="304" spans="1:6" ht="6" customHeight="1">
      <c r="A304" s="1" t="s">
        <v>4487</v>
      </c>
      <c r="B304" s="1" t="s">
        <v>1631</v>
      </c>
      <c r="C304" s="1" t="s">
        <v>4488</v>
      </c>
      <c r="D304" s="1" t="s">
        <v>4489</v>
      </c>
      <c r="E304" s="1" t="s">
        <v>1631</v>
      </c>
      <c r="F304" s="1" t="s">
        <v>4490</v>
      </c>
    </row>
    <row r="305" spans="1:6" ht="6" customHeight="1">
      <c r="A305" s="1" t="s">
        <v>4491</v>
      </c>
      <c r="B305" s="1" t="s">
        <v>1631</v>
      </c>
      <c r="C305" s="1" t="s">
        <v>4492</v>
      </c>
      <c r="D305" s="1" t="s">
        <v>4493</v>
      </c>
      <c r="E305" s="1" t="s">
        <v>1631</v>
      </c>
      <c r="F305" s="1" t="s">
        <v>4494</v>
      </c>
    </row>
    <row r="306" spans="1:6" ht="6" customHeight="1">
      <c r="A306" s="1" t="s">
        <v>4495</v>
      </c>
      <c r="B306" s="1" t="s">
        <v>1631</v>
      </c>
      <c r="C306" s="1" t="s">
        <v>4496</v>
      </c>
      <c r="D306" s="1" t="s">
        <v>4497</v>
      </c>
      <c r="E306" s="1" t="s">
        <v>1631</v>
      </c>
      <c r="F306" s="1" t="s">
        <v>4498</v>
      </c>
    </row>
    <row r="307" spans="1:6" ht="6" customHeight="1">
      <c r="A307" s="1" t="s">
        <v>4499</v>
      </c>
      <c r="B307" s="1" t="s">
        <v>1631</v>
      </c>
      <c r="C307" s="1" t="s">
        <v>4500</v>
      </c>
      <c r="D307" s="1" t="s">
        <v>4501</v>
      </c>
      <c r="E307" s="1" t="s">
        <v>1631</v>
      </c>
      <c r="F307" s="1" t="s">
        <v>4502</v>
      </c>
    </row>
    <row r="308" spans="1:6" ht="6" customHeight="1">
      <c r="A308" s="1" t="s">
        <v>4503</v>
      </c>
      <c r="B308" s="1" t="s">
        <v>1631</v>
      </c>
      <c r="C308" s="1" t="s">
        <v>4504</v>
      </c>
      <c r="D308" s="1" t="s">
        <v>4505</v>
      </c>
      <c r="E308" s="1" t="s">
        <v>1631</v>
      </c>
      <c r="F308" s="1" t="s">
        <v>4506</v>
      </c>
    </row>
    <row r="309" spans="1:6" ht="6" customHeight="1">
      <c r="A309" s="1" t="s">
        <v>4507</v>
      </c>
      <c r="B309" s="1" t="s">
        <v>1631</v>
      </c>
      <c r="C309" s="1" t="s">
        <v>4508</v>
      </c>
      <c r="D309" s="1" t="s">
        <v>4509</v>
      </c>
      <c r="E309" s="1" t="s">
        <v>1631</v>
      </c>
      <c r="F309" s="1" t="s">
        <v>4510</v>
      </c>
    </row>
    <row r="310" spans="1:6" ht="6" customHeight="1">
      <c r="A310" s="1" t="s">
        <v>4511</v>
      </c>
      <c r="B310" s="1" t="s">
        <v>1631</v>
      </c>
      <c r="C310" s="1" t="s">
        <v>4512</v>
      </c>
      <c r="D310" s="1" t="s">
        <v>4513</v>
      </c>
      <c r="E310" s="1" t="s">
        <v>1631</v>
      </c>
      <c r="F310" s="1" t="s">
        <v>4514</v>
      </c>
    </row>
    <row r="311" spans="1:6" ht="6" customHeight="1">
      <c r="A311" s="1" t="s">
        <v>4515</v>
      </c>
      <c r="B311" s="1" t="s">
        <v>1631</v>
      </c>
      <c r="C311" s="1" t="s">
        <v>4516</v>
      </c>
      <c r="D311" s="1" t="s">
        <v>4517</v>
      </c>
      <c r="E311" s="1" t="s">
        <v>1631</v>
      </c>
      <c r="F311" s="1" t="s">
        <v>4518</v>
      </c>
    </row>
    <row r="312" spans="1:6" ht="6" customHeight="1">
      <c r="A312" s="1" t="s">
        <v>4519</v>
      </c>
      <c r="B312" s="1"/>
      <c r="C312" s="1"/>
      <c r="D312" s="1"/>
      <c r="E312" s="1"/>
      <c r="F312" s="1"/>
    </row>
    <row r="313" spans="1:6" ht="6" customHeight="1">
      <c r="A313" s="1" t="s">
        <v>4520</v>
      </c>
      <c r="B313" s="1" t="s">
        <v>1631</v>
      </c>
      <c r="C313" s="1" t="s">
        <v>4521</v>
      </c>
      <c r="D313" s="1" t="s">
        <v>4522</v>
      </c>
      <c r="E313" s="1" t="s">
        <v>1631</v>
      </c>
      <c r="F313" s="1" t="s">
        <v>4523</v>
      </c>
    </row>
    <row r="314" spans="1:6" ht="6" customHeight="1">
      <c r="A314" s="1" t="s">
        <v>4524</v>
      </c>
      <c r="B314" s="1" t="s">
        <v>1631</v>
      </c>
      <c r="C314" s="1" t="s">
        <v>1882</v>
      </c>
      <c r="D314" s="1" t="s">
        <v>4525</v>
      </c>
      <c r="E314" s="1" t="s">
        <v>1631</v>
      </c>
      <c r="F314" s="1" t="s">
        <v>4526</v>
      </c>
    </row>
    <row r="315" spans="1:6" ht="6" customHeight="1">
      <c r="A315" s="1" t="s">
        <v>4527</v>
      </c>
      <c r="B315" s="1"/>
      <c r="C315" s="1"/>
      <c r="D315" s="1"/>
      <c r="E315" s="1"/>
      <c r="F315" s="1"/>
    </row>
    <row r="316" spans="1:6" ht="6" customHeight="1">
      <c r="A316" s="1" t="s">
        <v>4528</v>
      </c>
      <c r="B316" s="1" t="s">
        <v>1631</v>
      </c>
      <c r="C316" s="1" t="s">
        <v>4529</v>
      </c>
      <c r="D316" s="1" t="s">
        <v>4530</v>
      </c>
      <c r="E316" s="1" t="s">
        <v>1631</v>
      </c>
      <c r="F316" s="1" t="s">
        <v>4531</v>
      </c>
    </row>
    <row r="317" spans="1:6" ht="6" customHeight="1">
      <c r="A317" s="1" t="s">
        <v>4532</v>
      </c>
      <c r="B317" s="1" t="s">
        <v>1631</v>
      </c>
      <c r="C317" s="1" t="s">
        <v>4533</v>
      </c>
      <c r="D317" s="1" t="s">
        <v>4534</v>
      </c>
      <c r="E317" s="1" t="s">
        <v>1631</v>
      </c>
      <c r="F317" s="1" t="s">
        <v>4535</v>
      </c>
    </row>
    <row r="318" spans="1:6" ht="6" customHeight="1">
      <c r="A318" s="1" t="s">
        <v>4536</v>
      </c>
      <c r="B318" s="1" t="s">
        <v>1631</v>
      </c>
      <c r="C318" s="1" t="s">
        <v>4537</v>
      </c>
      <c r="D318" s="1" t="s">
        <v>4538</v>
      </c>
      <c r="E318" s="1" t="s">
        <v>1631</v>
      </c>
      <c r="F318" s="1" t="s">
        <v>4539</v>
      </c>
    </row>
    <row r="319" spans="1:6" ht="6" customHeight="1">
      <c r="A319" s="1" t="s">
        <v>4540</v>
      </c>
      <c r="B319" s="1"/>
      <c r="C319" s="1"/>
      <c r="D319" s="1"/>
      <c r="E319" s="1"/>
      <c r="F319" s="1"/>
    </row>
    <row r="320" spans="1:6" ht="6" customHeight="1">
      <c r="A320" s="1" t="s">
        <v>4541</v>
      </c>
      <c r="B320" s="1" t="s">
        <v>1631</v>
      </c>
      <c r="C320" s="1" t="s">
        <v>4542</v>
      </c>
      <c r="D320" s="1" t="s">
        <v>4543</v>
      </c>
      <c r="E320" s="1" t="s">
        <v>1631</v>
      </c>
      <c r="F320" s="1" t="s">
        <v>4544</v>
      </c>
    </row>
    <row r="321" spans="1:6" ht="6" customHeight="1">
      <c r="A321" s="1" t="s">
        <v>4545</v>
      </c>
      <c r="B321" s="1" t="s">
        <v>1631</v>
      </c>
      <c r="C321" s="1" t="s">
        <v>4546</v>
      </c>
      <c r="D321" s="1" t="s">
        <v>4547</v>
      </c>
      <c r="E321" s="1" t="s">
        <v>1631</v>
      </c>
      <c r="F321" s="1" t="s">
        <v>4548</v>
      </c>
    </row>
    <row r="322" spans="1:6" ht="6" customHeight="1">
      <c r="A322" s="1" t="s">
        <v>4549</v>
      </c>
      <c r="B322" s="1" t="s">
        <v>1631</v>
      </c>
      <c r="C322" s="1" t="s">
        <v>1893</v>
      </c>
      <c r="D322" s="1" t="s">
        <v>4550</v>
      </c>
      <c r="E322" s="1" t="s">
        <v>1631</v>
      </c>
      <c r="F322" s="1" t="s">
        <v>4551</v>
      </c>
    </row>
    <row r="323" spans="1:6" ht="6" customHeight="1">
      <c r="A323" s="1" t="s">
        <v>4552</v>
      </c>
      <c r="B323" s="1" t="s">
        <v>1631</v>
      </c>
      <c r="C323" s="1" t="s">
        <v>4553</v>
      </c>
      <c r="D323" s="1" t="s">
        <v>4554</v>
      </c>
      <c r="E323" s="1" t="s">
        <v>1631</v>
      </c>
      <c r="F323" s="1" t="s">
        <v>4555</v>
      </c>
    </row>
    <row r="324" spans="1:6" ht="6" customHeight="1">
      <c r="A324" s="1" t="s">
        <v>4556</v>
      </c>
      <c r="B324" s="1"/>
      <c r="C324" s="1"/>
      <c r="D324" s="1"/>
      <c r="E324" s="1"/>
      <c r="F324" s="1"/>
    </row>
    <row r="325" spans="1:6" ht="6" customHeight="1">
      <c r="A325" s="1" t="s">
        <v>4557</v>
      </c>
      <c r="B325" s="1" t="s">
        <v>1631</v>
      </c>
      <c r="C325" s="1" t="s">
        <v>4558</v>
      </c>
      <c r="D325" s="1" t="s">
        <v>4559</v>
      </c>
      <c r="E325" s="1" t="s">
        <v>1631</v>
      </c>
      <c r="F325" s="1" t="s">
        <v>4560</v>
      </c>
    </row>
    <row r="326" spans="1:6" ht="6" customHeight="1">
      <c r="A326" s="1" t="s">
        <v>4561</v>
      </c>
      <c r="B326" s="1" t="s">
        <v>1631</v>
      </c>
      <c r="C326" s="1" t="s">
        <v>4562</v>
      </c>
      <c r="D326" s="1" t="s">
        <v>4563</v>
      </c>
      <c r="E326" s="1" t="s">
        <v>1631</v>
      </c>
      <c r="F326" s="1" t="s">
        <v>4564</v>
      </c>
    </row>
    <row r="327" spans="1:6" ht="6" customHeight="1">
      <c r="A327" s="1" t="s">
        <v>4565</v>
      </c>
      <c r="B327" s="1" t="s">
        <v>1631</v>
      </c>
      <c r="C327" s="1" t="s">
        <v>4566</v>
      </c>
      <c r="D327" s="1" t="s">
        <v>4567</v>
      </c>
      <c r="E327" s="1" t="s">
        <v>1631</v>
      </c>
      <c r="F327" s="1" t="s">
        <v>4568</v>
      </c>
    </row>
    <row r="328" spans="1:6" ht="6" customHeight="1">
      <c r="A328" s="1" t="s">
        <v>4569</v>
      </c>
      <c r="B328" s="1"/>
      <c r="C328" s="1"/>
      <c r="D328" s="1"/>
      <c r="E328" s="1"/>
      <c r="F328" s="1"/>
    </row>
    <row r="329" spans="1:6" ht="6" customHeight="1">
      <c r="A329" s="1" t="s">
        <v>4570</v>
      </c>
      <c r="B329" s="1" t="s">
        <v>1631</v>
      </c>
      <c r="C329" s="1" t="s">
        <v>4571</v>
      </c>
      <c r="D329" s="1" t="s">
        <v>4572</v>
      </c>
      <c r="E329" s="1" t="s">
        <v>1631</v>
      </c>
      <c r="F329" s="1" t="s">
        <v>4573</v>
      </c>
    </row>
    <row r="330" spans="1:6" ht="6" customHeight="1">
      <c r="A330" s="1" t="s">
        <v>4574</v>
      </c>
      <c r="B330" s="1" t="s">
        <v>1631</v>
      </c>
      <c r="C330" s="1" t="s">
        <v>4575</v>
      </c>
      <c r="D330" s="1" t="s">
        <v>4576</v>
      </c>
      <c r="E330" s="1" t="s">
        <v>1631</v>
      </c>
      <c r="F330" s="1" t="s">
        <v>4573</v>
      </c>
    </row>
    <row r="331" spans="1:6" ht="6" customHeight="1">
      <c r="A331" s="1" t="s">
        <v>4577</v>
      </c>
      <c r="B331" s="1" t="s">
        <v>1631</v>
      </c>
      <c r="C331" s="1" t="s">
        <v>4578</v>
      </c>
      <c r="D331" s="1" t="s">
        <v>4579</v>
      </c>
      <c r="E331" s="1" t="s">
        <v>1631</v>
      </c>
      <c r="F331" s="1" t="s">
        <v>4573</v>
      </c>
    </row>
    <row r="332" spans="1:6" ht="6" customHeight="1">
      <c r="A332" s="1" t="s">
        <v>4580</v>
      </c>
      <c r="B332" s="1" t="s">
        <v>1631</v>
      </c>
      <c r="C332" s="1" t="s">
        <v>4581</v>
      </c>
      <c r="D332" s="1" t="s">
        <v>4582</v>
      </c>
      <c r="E332" s="1" t="s">
        <v>1631</v>
      </c>
      <c r="F332" s="1" t="s">
        <v>4583</v>
      </c>
    </row>
    <row r="333" spans="1:6" ht="6" customHeight="1">
      <c r="A333" s="1" t="s">
        <v>4584</v>
      </c>
      <c r="B333" s="1" t="s">
        <v>1631</v>
      </c>
      <c r="C333" s="1" t="s">
        <v>4585</v>
      </c>
      <c r="D333" s="1" t="s">
        <v>4586</v>
      </c>
      <c r="E333" s="1" t="s">
        <v>1631</v>
      </c>
      <c r="F333" s="1" t="s">
        <v>4587</v>
      </c>
    </row>
    <row r="334" spans="1:6" ht="6" customHeight="1">
      <c r="A334" s="1" t="s">
        <v>4588</v>
      </c>
      <c r="B334" s="1"/>
      <c r="C334" s="1"/>
      <c r="D334" s="1"/>
      <c r="E334" s="1"/>
      <c r="F334" s="1"/>
    </row>
    <row r="335" spans="1:6" ht="6" customHeight="1">
      <c r="A335" s="1" t="s">
        <v>4589</v>
      </c>
      <c r="B335" s="1" t="s">
        <v>1631</v>
      </c>
      <c r="C335" s="1" t="s">
        <v>1997</v>
      </c>
      <c r="D335" s="1" t="s">
        <v>4590</v>
      </c>
      <c r="E335" s="1" t="s">
        <v>1631</v>
      </c>
      <c r="F335" s="1" t="s">
        <v>4591</v>
      </c>
    </row>
    <row r="336" spans="1:6" ht="6" customHeight="1">
      <c r="A336" s="1" t="s">
        <v>4592</v>
      </c>
      <c r="B336" s="1" t="s">
        <v>1631</v>
      </c>
      <c r="C336" s="1" t="s">
        <v>4593</v>
      </c>
      <c r="D336" s="1" t="s">
        <v>4594</v>
      </c>
      <c r="E336" s="1" t="s">
        <v>1631</v>
      </c>
      <c r="F336" s="1" t="s">
        <v>4595</v>
      </c>
    </row>
    <row r="337" spans="1:6" ht="6" customHeight="1">
      <c r="A337" s="1" t="s">
        <v>4596</v>
      </c>
      <c r="B337" s="1"/>
      <c r="C337" s="1"/>
      <c r="D337" s="1"/>
      <c r="E337" s="1"/>
      <c r="F337" s="1"/>
    </row>
    <row r="338" spans="1:6" ht="6" customHeight="1">
      <c r="A338" s="1" t="s">
        <v>4597</v>
      </c>
      <c r="B338" s="1" t="s">
        <v>1631</v>
      </c>
      <c r="C338" s="1" t="s">
        <v>4598</v>
      </c>
      <c r="D338" s="1" t="s">
        <v>4599</v>
      </c>
      <c r="E338" s="1" t="s">
        <v>1631</v>
      </c>
      <c r="F338" s="1" t="s">
        <v>4600</v>
      </c>
    </row>
    <row r="339" spans="1:6" ht="6" customHeight="1">
      <c r="A339" s="1" t="s">
        <v>4601</v>
      </c>
      <c r="B339" s="1" t="s">
        <v>1631</v>
      </c>
      <c r="C339" s="1" t="s">
        <v>4602</v>
      </c>
      <c r="D339" s="1" t="s">
        <v>4603</v>
      </c>
      <c r="E339" s="1" t="s">
        <v>1631</v>
      </c>
      <c r="F339" s="1"/>
    </row>
    <row r="340" spans="1:6" ht="6" customHeight="1">
      <c r="A340" s="1" t="s">
        <v>4604</v>
      </c>
      <c r="B340" s="1" t="s">
        <v>1631</v>
      </c>
      <c r="C340" s="1" t="s">
        <v>4605</v>
      </c>
      <c r="D340" s="1" t="s">
        <v>4606</v>
      </c>
      <c r="E340" s="1" t="s">
        <v>1631</v>
      </c>
      <c r="F340" s="1"/>
    </row>
    <row r="341" spans="1:6" ht="6" customHeight="1">
      <c r="A341" s="1" t="s">
        <v>4607</v>
      </c>
      <c r="B341" s="1" t="s">
        <v>1631</v>
      </c>
      <c r="C341" s="1" t="s">
        <v>4608</v>
      </c>
      <c r="D341" s="1" t="s">
        <v>4609</v>
      </c>
      <c r="E341" s="1" t="s">
        <v>1631</v>
      </c>
      <c r="F341" s="1"/>
    </row>
    <row r="342" spans="1:6" ht="6" customHeight="1">
      <c r="A342" s="1" t="s">
        <v>4610</v>
      </c>
      <c r="B342" s="1" t="s">
        <v>1631</v>
      </c>
      <c r="C342" s="1" t="s">
        <v>4434</v>
      </c>
      <c r="D342" s="1" t="s">
        <v>4611</v>
      </c>
      <c r="E342" s="1" t="s">
        <v>1631</v>
      </c>
      <c r="F342" s="1"/>
    </row>
    <row r="343" spans="1:6" ht="6" customHeight="1">
      <c r="A343" s="1" t="s">
        <v>4612</v>
      </c>
      <c r="B343" s="1" t="s">
        <v>1631</v>
      </c>
      <c r="C343" s="1" t="s">
        <v>4613</v>
      </c>
      <c r="D343" s="1" t="s">
        <v>4614</v>
      </c>
      <c r="E343" s="1" t="s">
        <v>1631</v>
      </c>
      <c r="F343" s="1"/>
    </row>
    <row r="344" spans="1:6" ht="6" customHeight="1">
      <c r="A344" s="1" t="s">
        <v>4615</v>
      </c>
      <c r="B344" s="1" t="s">
        <v>1631</v>
      </c>
      <c r="C344" s="1" t="s">
        <v>560</v>
      </c>
      <c r="D344" s="1" t="s">
        <v>4616</v>
      </c>
      <c r="E344" s="1" t="s">
        <v>1631</v>
      </c>
      <c r="F344" s="1" t="s">
        <v>4617</v>
      </c>
    </row>
    <row r="345" spans="1:6">
      <c r="A345" t="s">
        <v>4618</v>
      </c>
    </row>
    <row r="346" spans="1:6">
      <c r="A346" t="s">
        <v>4619</v>
      </c>
      <c r="B346" t="s">
        <v>1631</v>
      </c>
      <c r="C346" t="s">
        <v>4620</v>
      </c>
      <c r="D346" t="s">
        <v>4621</v>
      </c>
      <c r="E346" t="s">
        <v>1631</v>
      </c>
    </row>
    <row r="347" spans="1:6">
      <c r="A347" t="s">
        <v>4622</v>
      </c>
      <c r="B347" t="s">
        <v>1631</v>
      </c>
      <c r="C347" t="s">
        <v>4623</v>
      </c>
      <c r="D347" t="s">
        <v>4624</v>
      </c>
      <c r="E347" t="s">
        <v>1631</v>
      </c>
    </row>
    <row r="348" spans="1:6">
      <c r="A348" t="s">
        <v>4625</v>
      </c>
      <c r="B348" t="s">
        <v>1631</v>
      </c>
      <c r="C348" t="s">
        <v>4626</v>
      </c>
      <c r="D348" t="s">
        <v>4627</v>
      </c>
      <c r="E348" t="s">
        <v>1631</v>
      </c>
    </row>
    <row r="349" spans="1:6">
      <c r="A349" t="s">
        <v>4628</v>
      </c>
      <c r="B349" t="s">
        <v>1631</v>
      </c>
      <c r="C349" t="s">
        <v>4629</v>
      </c>
      <c r="D349" t="s">
        <v>4630</v>
      </c>
      <c r="E349" t="s">
        <v>1631</v>
      </c>
      <c r="F349" t="s">
        <v>4631</v>
      </c>
    </row>
    <row r="350" spans="1:6">
      <c r="A350" t="s">
        <v>4632</v>
      </c>
    </row>
    <row r="351" spans="1:6">
      <c r="A351" t="s">
        <v>4633</v>
      </c>
      <c r="B351" t="s">
        <v>1631</v>
      </c>
      <c r="C351" t="s">
        <v>4634</v>
      </c>
      <c r="D351" t="s">
        <v>4635</v>
      </c>
      <c r="E351" t="s">
        <v>1631</v>
      </c>
      <c r="F351" t="s">
        <v>4636</v>
      </c>
    </row>
    <row r="352" spans="1:6">
      <c r="A352" t="s">
        <v>4637</v>
      </c>
      <c r="B352" t="s">
        <v>1631</v>
      </c>
      <c r="C352" t="s">
        <v>4638</v>
      </c>
      <c r="D352" t="s">
        <v>4639</v>
      </c>
      <c r="E352" t="s">
        <v>1631</v>
      </c>
      <c r="F352" t="s">
        <v>4640</v>
      </c>
    </row>
    <row r="353" spans="1:6">
      <c r="A353" t="s">
        <v>4213</v>
      </c>
      <c r="B353" t="s">
        <v>1631</v>
      </c>
      <c r="C353" t="s">
        <v>4641</v>
      </c>
      <c r="D353" t="s">
        <v>4642</v>
      </c>
      <c r="E353" t="s">
        <v>1631</v>
      </c>
      <c r="F353" t="s">
        <v>4643</v>
      </c>
    </row>
    <row r="354" spans="1:6">
      <c r="A354" t="s">
        <v>4644</v>
      </c>
      <c r="B354" t="s">
        <v>1631</v>
      </c>
      <c r="C354" t="s">
        <v>4645</v>
      </c>
      <c r="D354" t="s">
        <v>4646</v>
      </c>
      <c r="E354" t="s">
        <v>1631</v>
      </c>
      <c r="F354" t="s">
        <v>4647</v>
      </c>
    </row>
    <row r="355" spans="1:6">
      <c r="A355" t="s">
        <v>4648</v>
      </c>
      <c r="B355" t="s">
        <v>1631</v>
      </c>
      <c r="C355" t="s">
        <v>4649</v>
      </c>
      <c r="D355" t="s">
        <v>4650</v>
      </c>
      <c r="E355" t="s">
        <v>1631</v>
      </c>
    </row>
    <row r="356" spans="1:6">
      <c r="A356" t="s">
        <v>4651</v>
      </c>
      <c r="B356" t="s">
        <v>1631</v>
      </c>
      <c r="C356" t="s">
        <v>4652</v>
      </c>
      <c r="D356" t="s">
        <v>4653</v>
      </c>
      <c r="E356" t="s">
        <v>1631</v>
      </c>
    </row>
    <row r="357" spans="1:6">
      <c r="A357" t="s">
        <v>2080</v>
      </c>
    </row>
    <row r="358" spans="1:6">
      <c r="A358" t="s">
        <v>4654</v>
      </c>
      <c r="B358" t="s">
        <v>1631</v>
      </c>
      <c r="C358" t="s">
        <v>4655</v>
      </c>
      <c r="D358" t="s">
        <v>4656</v>
      </c>
      <c r="E358" t="s">
        <v>1631</v>
      </c>
      <c r="F358" t="s">
        <v>4657</v>
      </c>
    </row>
    <row r="359" spans="1:6">
      <c r="A359" t="s">
        <v>4213</v>
      </c>
      <c r="B359" t="s">
        <v>1631</v>
      </c>
      <c r="C359" t="s">
        <v>4658</v>
      </c>
      <c r="D359" t="s">
        <v>4659</v>
      </c>
      <c r="E359" t="s">
        <v>1631</v>
      </c>
    </row>
    <row r="360" spans="1:6">
      <c r="A360" t="s">
        <v>4660</v>
      </c>
    </row>
    <row r="361" spans="1:6">
      <c r="A361" t="s">
        <v>4661</v>
      </c>
      <c r="B361" t="s">
        <v>1631</v>
      </c>
      <c r="C361" t="s">
        <v>4662</v>
      </c>
      <c r="D361" t="s">
        <v>4663</v>
      </c>
      <c r="E361" t="s">
        <v>1631</v>
      </c>
      <c r="F361" t="s">
        <v>4664</v>
      </c>
    </row>
    <row r="362" spans="1:6">
      <c r="A362" t="s">
        <v>4665</v>
      </c>
      <c r="B362" t="s">
        <v>1631</v>
      </c>
      <c r="C362" t="s">
        <v>4666</v>
      </c>
      <c r="D362" t="s">
        <v>4667</v>
      </c>
      <c r="E362" t="s">
        <v>1631</v>
      </c>
      <c r="F362" t="s">
        <v>4668</v>
      </c>
    </row>
    <row r="363" spans="1:6">
      <c r="A363" t="s">
        <v>2095</v>
      </c>
      <c r="B363" t="s">
        <v>1631</v>
      </c>
      <c r="C363" t="s">
        <v>4669</v>
      </c>
      <c r="D363" t="s">
        <v>4670</v>
      </c>
      <c r="E363" t="s">
        <v>1631</v>
      </c>
      <c r="F363" t="s">
        <v>4671</v>
      </c>
    </row>
    <row r="364" spans="1:6">
      <c r="A364" t="s">
        <v>1400</v>
      </c>
      <c r="B364" t="s">
        <v>1631</v>
      </c>
      <c r="C364" t="s">
        <v>4672</v>
      </c>
      <c r="D364" t="s">
        <v>4673</v>
      </c>
      <c r="E364" t="s">
        <v>1631</v>
      </c>
      <c r="F364" t="s">
        <v>4674</v>
      </c>
    </row>
    <row r="365" spans="1:6">
      <c r="A365" t="s">
        <v>4675</v>
      </c>
      <c r="B365" t="s">
        <v>1631</v>
      </c>
      <c r="C365" t="s">
        <v>4676</v>
      </c>
      <c r="D365" t="s">
        <v>4677</v>
      </c>
      <c r="E365" t="s">
        <v>1631</v>
      </c>
      <c r="F365" t="s">
        <v>4678</v>
      </c>
    </row>
    <row r="366" spans="1:6">
      <c r="A366" t="s">
        <v>4679</v>
      </c>
      <c r="B366" t="s">
        <v>1631</v>
      </c>
      <c r="C366" t="s">
        <v>4662</v>
      </c>
      <c r="D366" t="s">
        <v>4680</v>
      </c>
      <c r="E366" t="s">
        <v>1631</v>
      </c>
      <c r="F366" t="s">
        <v>4681</v>
      </c>
    </row>
  </sheetData>
  <sheetProtection password="FE3F" sheet="1" objects="1" scenarios="1" formatRows="0"/>
  <mergeCells count="1">
    <mergeCell ref="A1:F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81"/>
  <sheetViews>
    <sheetView workbookViewId="0"/>
  </sheetViews>
  <sheetFormatPr defaultRowHeight="14.25"/>
  <cols>
    <col min="1" max="1" width="18" customWidth="1"/>
    <col min="2" max="2" width="12" customWidth="1"/>
    <col min="3" max="4" width="15" customWidth="1"/>
    <col min="5" max="5" width="17" customWidth="1"/>
    <col min="6" max="6" width="14" customWidth="1"/>
    <col min="7" max="7" width="18" customWidth="1"/>
    <col min="8" max="8" width="16" customWidth="1"/>
    <col min="9" max="9" width="12" customWidth="1"/>
    <col min="10" max="10" width="42" customWidth="1"/>
    <col min="11" max="11" width="48" customWidth="1"/>
    <col min="12" max="13" width="18" customWidth="1"/>
  </cols>
  <sheetData>
    <row r="1" spans="1:13" ht="17.649999999999999" customHeight="1">
      <c r="A1" s="156" t="s">
        <v>4682</v>
      </c>
      <c r="B1" s="120"/>
      <c r="C1" s="120"/>
      <c r="D1" s="120"/>
      <c r="E1" s="120"/>
      <c r="F1" s="120"/>
      <c r="G1" s="120"/>
      <c r="H1" s="120"/>
      <c r="I1" s="120"/>
      <c r="J1" s="120"/>
      <c r="K1" s="120"/>
      <c r="L1" s="120"/>
      <c r="M1" s="120"/>
    </row>
    <row r="2" spans="1:13">
      <c r="A2" s="1"/>
      <c r="B2" s="1"/>
      <c r="C2" s="1"/>
      <c r="D2" s="1"/>
      <c r="E2" s="1"/>
      <c r="F2" s="1"/>
      <c r="G2" s="1"/>
      <c r="H2" s="1"/>
      <c r="I2" s="1"/>
      <c r="J2" s="1"/>
      <c r="K2" s="1"/>
      <c r="L2" s="1"/>
      <c r="M2" s="1"/>
    </row>
    <row r="3" spans="1:13" ht="6" customHeight="1">
      <c r="A3" s="65" t="s">
        <v>4683</v>
      </c>
      <c r="B3" s="1" t="s">
        <v>4684</v>
      </c>
      <c r="C3" s="1"/>
      <c r="D3" s="1"/>
      <c r="E3" s="1"/>
      <c r="F3" s="1"/>
      <c r="G3" s="1"/>
      <c r="H3" s="1"/>
      <c r="I3" s="1"/>
      <c r="J3" s="1"/>
      <c r="K3" s="1"/>
      <c r="L3" s="1"/>
      <c r="M3" s="1"/>
    </row>
    <row r="4" spans="1:13" ht="6" customHeight="1">
      <c r="A4" s="65" t="s">
        <v>4685</v>
      </c>
      <c r="B4" s="1">
        <v>61</v>
      </c>
      <c r="C4" s="1"/>
      <c r="D4" s="1"/>
      <c r="E4" s="1"/>
      <c r="F4" s="1"/>
      <c r="G4" s="1"/>
      <c r="H4" s="1"/>
      <c r="I4" s="1"/>
      <c r="J4" s="1"/>
      <c r="K4" s="1"/>
      <c r="L4" s="1"/>
      <c r="M4" s="1"/>
    </row>
    <row r="5" spans="1:13" ht="6" customHeight="1">
      <c r="A5" s="65" t="s">
        <v>4686</v>
      </c>
      <c r="B5" s="1" t="s">
        <v>4687</v>
      </c>
      <c r="C5" s="1"/>
      <c r="D5" s="1"/>
      <c r="E5" s="1"/>
      <c r="F5" s="1"/>
      <c r="G5" s="1"/>
      <c r="H5" s="1"/>
      <c r="I5" s="1"/>
      <c r="J5" s="1"/>
      <c r="K5" s="1"/>
      <c r="L5" s="1"/>
      <c r="M5" s="1"/>
    </row>
    <row r="6" spans="1:13" ht="6" customHeight="1">
      <c r="A6" s="65" t="s">
        <v>4688</v>
      </c>
      <c r="B6" s="1" t="s">
        <v>4689</v>
      </c>
      <c r="C6" s="1"/>
      <c r="D6" s="1"/>
      <c r="E6" s="1"/>
      <c r="F6" s="1"/>
      <c r="G6" s="1"/>
      <c r="H6" s="1"/>
      <c r="I6" s="1"/>
      <c r="J6" s="1"/>
      <c r="K6" s="1"/>
      <c r="L6" s="1"/>
      <c r="M6" s="1"/>
    </row>
    <row r="7" spans="1:13" ht="6" customHeight="1">
      <c r="A7" s="65" t="s">
        <v>4690</v>
      </c>
      <c r="B7" s="1" t="s">
        <v>4691</v>
      </c>
      <c r="C7" s="1"/>
      <c r="D7" s="1"/>
      <c r="E7" s="1"/>
      <c r="F7" s="1"/>
      <c r="G7" s="1"/>
      <c r="H7" s="1"/>
      <c r="I7" s="1"/>
      <c r="J7" s="1"/>
      <c r="K7" s="1"/>
      <c r="L7" s="1"/>
      <c r="M7" s="1"/>
    </row>
    <row r="8" spans="1:13" ht="6" customHeight="1">
      <c r="A8" s="65" t="s">
        <v>4692</v>
      </c>
      <c r="B8" s="1" t="s">
        <v>1631</v>
      </c>
      <c r="C8" s="1"/>
      <c r="D8" s="1"/>
      <c r="E8" s="1"/>
      <c r="F8" s="1"/>
      <c r="G8" s="1"/>
      <c r="H8" s="1"/>
      <c r="I8" s="1"/>
      <c r="J8" s="1"/>
      <c r="K8" s="1"/>
      <c r="L8" s="1"/>
      <c r="M8" s="1"/>
    </row>
    <row r="9" spans="1:13" ht="6" customHeight="1">
      <c r="A9" s="65" t="s">
        <v>4693</v>
      </c>
      <c r="B9" s="1" t="s">
        <v>1631</v>
      </c>
      <c r="C9" s="1"/>
      <c r="D9" s="1"/>
      <c r="E9" s="1"/>
      <c r="F9" s="1"/>
      <c r="G9" s="1"/>
      <c r="H9" s="1"/>
      <c r="I9" s="1"/>
      <c r="J9" s="1"/>
      <c r="K9" s="1"/>
      <c r="L9" s="1"/>
      <c r="M9" s="1"/>
    </row>
    <row r="10" spans="1:13" ht="10.9" customHeight="1">
      <c r="A10" s="65" t="s">
        <v>4694</v>
      </c>
      <c r="B10" s="1" t="s">
        <v>4695</v>
      </c>
      <c r="C10" s="1"/>
      <c r="D10" s="1"/>
      <c r="E10" s="1"/>
      <c r="F10" s="1"/>
      <c r="G10" s="1"/>
      <c r="H10" s="1"/>
      <c r="I10" s="1"/>
      <c r="J10" s="1"/>
      <c r="K10" s="1"/>
      <c r="L10" s="1"/>
      <c r="M10" s="1"/>
    </row>
    <row r="11" spans="1:13">
      <c r="A11" s="1"/>
      <c r="B11" s="1"/>
      <c r="C11" s="1"/>
      <c r="D11" s="1"/>
      <c r="E11" s="1"/>
      <c r="F11" s="1"/>
      <c r="G11" s="1"/>
      <c r="H11" s="1"/>
      <c r="I11" s="1"/>
      <c r="J11" s="1"/>
      <c r="K11" s="1"/>
      <c r="L11" s="1"/>
      <c r="M11" s="1"/>
    </row>
    <row r="12" spans="1:13" ht="27.4" customHeight="1">
      <c r="A12" s="64" t="s">
        <v>2960</v>
      </c>
      <c r="B12" s="64" t="s">
        <v>4696</v>
      </c>
      <c r="C12" s="64" t="s">
        <v>4697</v>
      </c>
      <c r="D12" s="64" t="s">
        <v>4698</v>
      </c>
      <c r="E12" s="64" t="s">
        <v>4699</v>
      </c>
      <c r="F12" s="64" t="s">
        <v>4700</v>
      </c>
      <c r="G12" s="64" t="s">
        <v>4701</v>
      </c>
      <c r="H12" s="64" t="s">
        <v>4702</v>
      </c>
      <c r="I12" s="64" t="s">
        <v>4703</v>
      </c>
      <c r="J12" s="64" t="s">
        <v>4704</v>
      </c>
      <c r="K12" s="64" t="s">
        <v>823</v>
      </c>
      <c r="L12" s="64" t="s">
        <v>4705</v>
      </c>
      <c r="M12" s="64" t="s">
        <v>4706</v>
      </c>
    </row>
    <row r="13" spans="1:13" ht="27.4" customHeight="1">
      <c r="A13" s="1" t="s">
        <v>2146</v>
      </c>
      <c r="B13" s="1">
        <v>55</v>
      </c>
      <c r="C13" s="33">
        <v>1.3069999999999999</v>
      </c>
      <c r="D13" s="33">
        <v>1.3069999999999999</v>
      </c>
      <c r="E13" s="33">
        <v>1.3069999999999999</v>
      </c>
      <c r="F13" s="33">
        <v>2.9</v>
      </c>
      <c r="G13" s="33">
        <v>1.3376999999999999</v>
      </c>
      <c r="H13" s="28">
        <v>-2.294983927636985E-2</v>
      </c>
      <c r="I13" s="1" t="s">
        <v>1631</v>
      </c>
      <c r="J13" s="1" t="s">
        <v>4707</v>
      </c>
      <c r="K13" s="1" t="s">
        <v>4708</v>
      </c>
      <c r="L13" s="1" t="s">
        <v>1631</v>
      </c>
      <c r="M13" s="1" t="s">
        <v>1631</v>
      </c>
    </row>
    <row r="14" spans="1:13" ht="27.4" customHeight="1">
      <c r="A14" s="1" t="s">
        <v>2146</v>
      </c>
      <c r="B14" s="1">
        <v>70</v>
      </c>
      <c r="C14" s="33">
        <v>1.292</v>
      </c>
      <c r="D14" s="33">
        <v>1.292</v>
      </c>
      <c r="E14" s="33">
        <v>1.292</v>
      </c>
      <c r="F14" s="33">
        <v>3.2</v>
      </c>
      <c r="G14" s="33">
        <v>1.3278000000000001</v>
      </c>
      <c r="H14" s="28">
        <v>-2.6961891851182449E-2</v>
      </c>
      <c r="I14" s="1" t="s">
        <v>1631</v>
      </c>
      <c r="J14" s="1" t="s">
        <v>4707</v>
      </c>
      <c r="K14" s="1" t="s">
        <v>4708</v>
      </c>
      <c r="L14" s="1" t="s">
        <v>1631</v>
      </c>
      <c r="M14" s="1" t="s">
        <v>1631</v>
      </c>
    </row>
    <row r="15" spans="1:13" ht="27.4" customHeight="1">
      <c r="A15" s="1" t="s">
        <v>2146</v>
      </c>
      <c r="B15" s="1">
        <v>80</v>
      </c>
      <c r="C15" s="33">
        <v>1.2709999999999999</v>
      </c>
      <c r="D15" s="33">
        <v>1.2709999999999999</v>
      </c>
      <c r="E15" s="33">
        <v>1.2709999999999999</v>
      </c>
      <c r="F15" s="33">
        <v>3.2</v>
      </c>
      <c r="G15" s="33">
        <v>1.3211999999999999</v>
      </c>
      <c r="H15" s="28">
        <v>-3.7995761429003953E-2</v>
      </c>
      <c r="I15" s="1" t="s">
        <v>1631</v>
      </c>
      <c r="J15" s="1" t="s">
        <v>4707</v>
      </c>
      <c r="K15" s="1" t="s">
        <v>4708</v>
      </c>
      <c r="L15" s="1" t="s">
        <v>1631</v>
      </c>
      <c r="M15" s="1" t="s">
        <v>1631</v>
      </c>
    </row>
    <row r="16" spans="1:13" ht="27.4" customHeight="1">
      <c r="A16" s="1" t="s">
        <v>2146</v>
      </c>
      <c r="B16" s="1">
        <v>110</v>
      </c>
      <c r="C16" s="33">
        <v>1.252</v>
      </c>
      <c r="D16" s="33">
        <v>1.252</v>
      </c>
      <c r="E16" s="33">
        <v>1.252</v>
      </c>
      <c r="F16" s="33">
        <v>3.6</v>
      </c>
      <c r="G16" s="33">
        <v>1.2976000000000001</v>
      </c>
      <c r="H16" s="28">
        <v>-3.5141800246609192E-2</v>
      </c>
      <c r="I16" s="1" t="s">
        <v>1631</v>
      </c>
      <c r="J16" s="1" t="s">
        <v>4707</v>
      </c>
      <c r="K16" s="1" t="s">
        <v>4708</v>
      </c>
      <c r="L16" s="1" t="s">
        <v>1631</v>
      </c>
      <c r="M16" s="1" t="s">
        <v>1631</v>
      </c>
    </row>
    <row r="17" spans="1:13" ht="27.4" customHeight="1">
      <c r="A17" s="1" t="s">
        <v>2146</v>
      </c>
      <c r="B17" s="1">
        <v>130</v>
      </c>
      <c r="C17" s="33">
        <v>1.2210000000000001</v>
      </c>
      <c r="D17" s="33">
        <v>1.2210000000000001</v>
      </c>
      <c r="E17" s="33">
        <v>1.2210000000000001</v>
      </c>
      <c r="F17" s="33">
        <v>3.6</v>
      </c>
      <c r="G17" s="33">
        <v>1.2767999999999999</v>
      </c>
      <c r="H17" s="28">
        <v>-4.3703007518796883E-2</v>
      </c>
      <c r="I17" s="1" t="s">
        <v>1631</v>
      </c>
      <c r="J17" s="1" t="s">
        <v>4707</v>
      </c>
      <c r="K17" s="1" t="s">
        <v>4708</v>
      </c>
      <c r="L17" s="1" t="s">
        <v>1631</v>
      </c>
      <c r="M17" s="1" t="s">
        <v>1631</v>
      </c>
    </row>
    <row r="18" spans="1:13" ht="27.4" customHeight="1">
      <c r="A18" s="1" t="s">
        <v>2146</v>
      </c>
      <c r="B18" s="1">
        <v>160</v>
      </c>
      <c r="C18" s="33">
        <v>1.1870000000000001</v>
      </c>
      <c r="D18" s="33">
        <v>1.1870000000000001</v>
      </c>
      <c r="E18" s="33">
        <v>1.1870000000000001</v>
      </c>
      <c r="F18" s="33">
        <v>3.6</v>
      </c>
      <c r="G18" s="33">
        <v>1.2462</v>
      </c>
      <c r="H18" s="28">
        <v>-4.7504413416786968E-2</v>
      </c>
      <c r="I18" s="1" t="s">
        <v>1631</v>
      </c>
      <c r="J18" s="1" t="s">
        <v>4707</v>
      </c>
      <c r="K18" s="1" t="s">
        <v>4708</v>
      </c>
      <c r="L18" s="1" t="s">
        <v>1631</v>
      </c>
      <c r="M18" s="1" t="s">
        <v>1631</v>
      </c>
    </row>
    <row r="19" spans="1:13" ht="27.4" customHeight="1">
      <c r="A19" s="1" t="s">
        <v>2146</v>
      </c>
      <c r="B19" s="1">
        <v>180</v>
      </c>
      <c r="C19" s="33">
        <v>1.181</v>
      </c>
      <c r="D19" s="33">
        <v>1.181</v>
      </c>
      <c r="E19" s="33">
        <v>1.181</v>
      </c>
      <c r="F19" s="33">
        <v>4</v>
      </c>
      <c r="G19" s="33">
        <v>1.2265999999999999</v>
      </c>
      <c r="H19" s="28">
        <v>-3.7175933474645428E-2</v>
      </c>
      <c r="I19" s="1" t="s">
        <v>1631</v>
      </c>
      <c r="J19" s="1" t="s">
        <v>4707</v>
      </c>
      <c r="K19" s="1" t="s">
        <v>4708</v>
      </c>
      <c r="L19" s="1" t="s">
        <v>1631</v>
      </c>
      <c r="M19" s="1" t="s">
        <v>1631</v>
      </c>
    </row>
    <row r="20" spans="1:13" ht="27.4" customHeight="1">
      <c r="A20" s="1" t="s">
        <v>2146</v>
      </c>
      <c r="B20" s="1">
        <v>210</v>
      </c>
      <c r="C20" s="33">
        <v>1.1559999999999999</v>
      </c>
      <c r="D20" s="33">
        <v>1.1559999999999999</v>
      </c>
      <c r="E20" s="33">
        <v>1.1559999999999999</v>
      </c>
      <c r="F20" s="33">
        <v>4</v>
      </c>
      <c r="G20" s="33">
        <v>1.1991000000000001</v>
      </c>
      <c r="H20" s="28">
        <v>-3.5943624384955498E-2</v>
      </c>
      <c r="I20" s="1" t="s">
        <v>1631</v>
      </c>
      <c r="J20" s="1" t="s">
        <v>4707</v>
      </c>
      <c r="K20" s="1" t="s">
        <v>4708</v>
      </c>
      <c r="L20" s="1" t="s">
        <v>1631</v>
      </c>
      <c r="M20" s="1" t="s">
        <v>1631</v>
      </c>
    </row>
    <row r="21" spans="1:13" ht="27.4" customHeight="1">
      <c r="A21" s="1" t="s">
        <v>2146</v>
      </c>
      <c r="B21" s="1">
        <v>240</v>
      </c>
      <c r="C21" s="33">
        <v>1.1339999999999999</v>
      </c>
      <c r="D21" s="33">
        <v>1.1339999999999999</v>
      </c>
      <c r="E21" s="33">
        <v>1.1339999999999999</v>
      </c>
      <c r="F21" s="33">
        <v>4</v>
      </c>
      <c r="G21" s="33">
        <v>1.1754</v>
      </c>
      <c r="H21" s="28">
        <v>-3.5222052067381403E-2</v>
      </c>
      <c r="I21" s="1" t="s">
        <v>1631</v>
      </c>
      <c r="J21" s="1" t="s">
        <v>4707</v>
      </c>
      <c r="K21" s="1" t="s">
        <v>4708</v>
      </c>
      <c r="L21" s="1" t="s">
        <v>1631</v>
      </c>
      <c r="M21" s="1" t="s">
        <v>1631</v>
      </c>
    </row>
    <row r="22" spans="1:13" ht="27.4" customHeight="1">
      <c r="A22" s="1" t="s">
        <v>2146</v>
      </c>
      <c r="B22" s="1">
        <v>260</v>
      </c>
      <c r="C22" s="33">
        <v>1.1100000000000001</v>
      </c>
      <c r="D22" s="33">
        <v>1.1100000000000001</v>
      </c>
      <c r="E22" s="33">
        <v>1.1100000000000001</v>
      </c>
      <c r="F22" s="33">
        <v>4</v>
      </c>
      <c r="G22" s="33">
        <v>1.1596</v>
      </c>
      <c r="H22" s="28">
        <v>-4.2773370127630113E-2</v>
      </c>
      <c r="I22" s="1" t="s">
        <v>1631</v>
      </c>
      <c r="J22" s="1" t="s">
        <v>4707</v>
      </c>
      <c r="K22" s="1" t="s">
        <v>4708</v>
      </c>
      <c r="L22" s="1" t="s">
        <v>1631</v>
      </c>
      <c r="M22" s="1" t="s">
        <v>1631</v>
      </c>
    </row>
    <row r="23" spans="1:13" ht="27.4" customHeight="1">
      <c r="A23" s="1" t="s">
        <v>2146</v>
      </c>
      <c r="B23" s="1">
        <v>320</v>
      </c>
      <c r="C23" s="33">
        <v>1.07</v>
      </c>
      <c r="D23" s="33">
        <v>1.07</v>
      </c>
      <c r="E23" s="33">
        <v>1.07</v>
      </c>
      <c r="F23" s="33">
        <v>4</v>
      </c>
      <c r="G23" s="33">
        <v>1.1153333333333331</v>
      </c>
      <c r="H23" s="28">
        <v>-4.0645546921697452E-2</v>
      </c>
      <c r="I23" s="1" t="s">
        <v>1631</v>
      </c>
      <c r="J23" s="1" t="s">
        <v>4707</v>
      </c>
      <c r="K23" s="1" t="s">
        <v>4708</v>
      </c>
      <c r="L23" s="1" t="s">
        <v>1631</v>
      </c>
      <c r="M23" s="1" t="s">
        <v>1631</v>
      </c>
    </row>
    <row r="24" spans="1:13" ht="27.4" customHeight="1">
      <c r="A24" s="1" t="s">
        <v>2146</v>
      </c>
      <c r="B24" s="1">
        <v>350</v>
      </c>
      <c r="C24" s="33">
        <v>1.0760000000000001</v>
      </c>
      <c r="D24" s="33">
        <v>1.0760000000000001</v>
      </c>
      <c r="E24" s="33">
        <v>1.0760000000000001</v>
      </c>
      <c r="F24" s="33">
        <v>4.5</v>
      </c>
      <c r="G24" s="33">
        <v>1.0963333333333329</v>
      </c>
      <c r="H24" s="28">
        <v>-1.8546670720583549E-2</v>
      </c>
      <c r="I24" s="1" t="s">
        <v>1631</v>
      </c>
      <c r="J24" s="1" t="s">
        <v>4707</v>
      </c>
      <c r="K24" s="1" t="s">
        <v>4708</v>
      </c>
      <c r="L24" s="1" t="s">
        <v>1631</v>
      </c>
      <c r="M24" s="1" t="s">
        <v>1631</v>
      </c>
    </row>
    <row r="25" spans="1:13" ht="27.4" customHeight="1">
      <c r="A25" s="1" t="s">
        <v>2146</v>
      </c>
      <c r="B25" s="1">
        <v>400</v>
      </c>
      <c r="C25" s="33">
        <v>1.044</v>
      </c>
      <c r="D25" s="33">
        <v>1.044</v>
      </c>
      <c r="E25" s="33">
        <v>1.044</v>
      </c>
      <c r="F25" s="33">
        <v>4.5</v>
      </c>
      <c r="G25" s="33">
        <v>1.0646666666666671</v>
      </c>
      <c r="H25" s="28">
        <v>-1.9411396368190309E-2</v>
      </c>
      <c r="I25" s="1" t="s">
        <v>1631</v>
      </c>
      <c r="J25" s="1" t="s">
        <v>4707</v>
      </c>
      <c r="K25" s="1" t="s">
        <v>4708</v>
      </c>
      <c r="L25" s="1" t="s">
        <v>1631</v>
      </c>
      <c r="M25" s="1" t="s">
        <v>1631</v>
      </c>
    </row>
    <row r="26" spans="1:13" ht="27.4" customHeight="1">
      <c r="A26" s="1" t="s">
        <v>2146</v>
      </c>
      <c r="B26" s="1">
        <v>450</v>
      </c>
      <c r="C26" s="33">
        <v>1.0409999999999999</v>
      </c>
      <c r="D26" s="33">
        <v>1.0409999999999999</v>
      </c>
      <c r="E26" s="33">
        <v>1.0409999999999999</v>
      </c>
      <c r="F26" s="33">
        <v>5</v>
      </c>
      <c r="G26" s="33">
        <v>1.0329999999999999</v>
      </c>
      <c r="H26" s="28">
        <v>7.7444336882865512E-3</v>
      </c>
      <c r="I26" s="1" t="s">
        <v>1631</v>
      </c>
      <c r="J26" s="1" t="s">
        <v>4707</v>
      </c>
      <c r="K26" s="1" t="s">
        <v>4708</v>
      </c>
      <c r="L26" s="1" t="s">
        <v>1631</v>
      </c>
      <c r="M26" s="1" t="s">
        <v>1631</v>
      </c>
    </row>
    <row r="27" spans="1:13" ht="27.4" customHeight="1">
      <c r="A27" s="1" t="s">
        <v>2146</v>
      </c>
      <c r="B27" s="1">
        <v>500</v>
      </c>
      <c r="C27" s="33">
        <v>1.014</v>
      </c>
      <c r="D27" s="33">
        <v>1.014</v>
      </c>
      <c r="E27" s="33">
        <v>1.014</v>
      </c>
      <c r="F27" s="33">
        <v>5</v>
      </c>
      <c r="G27" s="33">
        <v>1.004666666666667</v>
      </c>
      <c r="H27" s="28">
        <v>9.2899800928998837E-3</v>
      </c>
      <c r="I27" s="1" t="s">
        <v>1631</v>
      </c>
      <c r="J27" s="1" t="s">
        <v>4707</v>
      </c>
      <c r="K27" s="1" t="s">
        <v>4708</v>
      </c>
      <c r="L27" s="1" t="s">
        <v>1631</v>
      </c>
      <c r="M27" s="1" t="s">
        <v>1631</v>
      </c>
    </row>
    <row r="28" spans="1:13" ht="27.4" customHeight="1">
      <c r="A28" s="1" t="s">
        <v>2146</v>
      </c>
      <c r="B28" s="1">
        <v>550</v>
      </c>
      <c r="C28" s="33">
        <v>1.048</v>
      </c>
      <c r="D28" s="33">
        <v>1.048</v>
      </c>
      <c r="E28" s="33">
        <v>1.048</v>
      </c>
      <c r="F28" s="33">
        <v>6.3</v>
      </c>
      <c r="G28" s="33">
        <v>0.97633333333333328</v>
      </c>
      <c r="H28" s="28">
        <v>7.340389211334937E-2</v>
      </c>
      <c r="I28" s="1" t="s">
        <v>1631</v>
      </c>
      <c r="J28" s="1" t="s">
        <v>4707</v>
      </c>
      <c r="K28" s="1" t="s">
        <v>4708</v>
      </c>
      <c r="L28" s="1" t="s">
        <v>1631</v>
      </c>
      <c r="M28" s="1" t="s">
        <v>1631</v>
      </c>
    </row>
    <row r="29" spans="1:13" ht="27.4" customHeight="1">
      <c r="A29" s="1" t="s">
        <v>2146</v>
      </c>
      <c r="B29" s="1">
        <v>600</v>
      </c>
      <c r="C29" s="33">
        <v>1.0269999999999999</v>
      </c>
      <c r="D29" s="33">
        <v>1.0269999999999999</v>
      </c>
      <c r="E29" s="33">
        <v>1.0269999999999999</v>
      </c>
      <c r="F29" s="33">
        <v>6.3</v>
      </c>
      <c r="G29" s="33">
        <v>0.94799999999999995</v>
      </c>
      <c r="H29" s="28">
        <v>8.3333333333333301E-2</v>
      </c>
      <c r="I29" s="1" t="s">
        <v>1631</v>
      </c>
      <c r="J29" s="1" t="s">
        <v>4707</v>
      </c>
      <c r="K29" s="1" t="s">
        <v>4708</v>
      </c>
      <c r="L29" s="1" t="s">
        <v>1631</v>
      </c>
      <c r="M29" s="1" t="s">
        <v>1631</v>
      </c>
    </row>
    <row r="30" spans="1:13" ht="27.4" customHeight="1">
      <c r="A30" s="1" t="s">
        <v>2146</v>
      </c>
      <c r="B30" s="1">
        <v>650</v>
      </c>
      <c r="C30" s="33">
        <v>1.0069999999999999</v>
      </c>
      <c r="D30" s="33">
        <v>1.0069999999999999</v>
      </c>
      <c r="E30" s="33">
        <v>1.0069999999999999</v>
      </c>
      <c r="F30" s="33">
        <v>6.3</v>
      </c>
      <c r="G30" s="33">
        <v>0.9428333333333333</v>
      </c>
      <c r="H30" s="28">
        <v>6.8057274173590171E-2</v>
      </c>
      <c r="I30" s="1" t="s">
        <v>1631</v>
      </c>
      <c r="J30" s="1" t="s">
        <v>4707</v>
      </c>
      <c r="K30" s="1" t="s">
        <v>4708</v>
      </c>
      <c r="L30" s="1" t="s">
        <v>1631</v>
      </c>
      <c r="M30" s="1" t="s">
        <v>1631</v>
      </c>
    </row>
    <row r="31" spans="1:13" ht="27.4" customHeight="1">
      <c r="A31" s="1" t="s">
        <v>2146</v>
      </c>
      <c r="B31" s="1">
        <v>700</v>
      </c>
      <c r="C31" s="33">
        <v>0.98699999999999999</v>
      </c>
      <c r="D31" s="33">
        <v>0.98699999999999999</v>
      </c>
      <c r="E31" s="33">
        <v>0.98699999999999999</v>
      </c>
      <c r="F31" s="33">
        <v>6.3</v>
      </c>
      <c r="G31" s="33">
        <v>0.93766666666666665</v>
      </c>
      <c r="H31" s="28">
        <v>5.2612868823320308E-2</v>
      </c>
      <c r="I31" s="1" t="s">
        <v>1631</v>
      </c>
      <c r="J31" s="1" t="s">
        <v>4707</v>
      </c>
      <c r="K31" s="1" t="s">
        <v>4708</v>
      </c>
      <c r="L31" s="1" t="s">
        <v>1631</v>
      </c>
      <c r="M31" s="1" t="s">
        <v>1631</v>
      </c>
    </row>
    <row r="32" spans="1:13" ht="27.4" customHeight="1">
      <c r="A32" s="1" t="s">
        <v>2146</v>
      </c>
      <c r="B32" s="1">
        <v>750</v>
      </c>
      <c r="C32" s="33">
        <v>0.96899999999999997</v>
      </c>
      <c r="D32" s="33">
        <v>0.96899999999999997</v>
      </c>
      <c r="E32" s="33">
        <v>0.96899999999999997</v>
      </c>
      <c r="F32" s="33">
        <v>6.3</v>
      </c>
      <c r="G32" s="33">
        <v>0.9325</v>
      </c>
      <c r="H32" s="28">
        <v>3.9142091152814987E-2</v>
      </c>
      <c r="I32" s="1" t="s">
        <v>1631</v>
      </c>
      <c r="J32" s="1" t="s">
        <v>4707</v>
      </c>
      <c r="K32" s="1" t="s">
        <v>4708</v>
      </c>
      <c r="L32" s="1" t="s">
        <v>1631</v>
      </c>
      <c r="M32" s="1" t="s">
        <v>1631</v>
      </c>
    </row>
    <row r="33" spans="1:13" ht="27.4" customHeight="1">
      <c r="A33" s="1" t="s">
        <v>2146</v>
      </c>
      <c r="B33" s="1">
        <v>800</v>
      </c>
      <c r="C33" s="33">
        <v>0.98399999999999999</v>
      </c>
      <c r="D33" s="33">
        <v>0.98399999999999999</v>
      </c>
      <c r="E33" s="33">
        <v>0.98399999999999999</v>
      </c>
      <c r="F33" s="33">
        <v>7.1</v>
      </c>
      <c r="G33" s="33">
        <v>0.92733333333333334</v>
      </c>
      <c r="H33" s="28">
        <v>6.1107117181883511E-2</v>
      </c>
      <c r="I33" s="1" t="s">
        <v>1631</v>
      </c>
      <c r="J33" s="1" t="s">
        <v>4707</v>
      </c>
      <c r="K33" s="1" t="s">
        <v>4708</v>
      </c>
      <c r="L33" s="1" t="s">
        <v>1631</v>
      </c>
      <c r="M33" s="1" t="s">
        <v>1631</v>
      </c>
    </row>
    <row r="34" spans="1:13" ht="27.4" customHeight="1">
      <c r="A34" s="1" t="s">
        <v>2146</v>
      </c>
      <c r="B34" s="1">
        <v>850</v>
      </c>
      <c r="C34" s="33">
        <v>0.96799999999999997</v>
      </c>
      <c r="D34" s="33">
        <v>0.96799999999999997</v>
      </c>
      <c r="E34" s="33">
        <v>0.96799999999999997</v>
      </c>
      <c r="F34" s="33">
        <v>7.1</v>
      </c>
      <c r="G34" s="33">
        <v>0.92216666666666669</v>
      </c>
      <c r="H34" s="28">
        <v>4.970178926441346E-2</v>
      </c>
      <c r="I34" s="1" t="s">
        <v>1631</v>
      </c>
      <c r="J34" s="1" t="s">
        <v>4707</v>
      </c>
      <c r="K34" s="1" t="s">
        <v>4708</v>
      </c>
      <c r="L34" s="1" t="s">
        <v>1631</v>
      </c>
      <c r="M34" s="1" t="s">
        <v>1631</v>
      </c>
    </row>
    <row r="35" spans="1:13" ht="27.4" customHeight="1">
      <c r="A35" s="1" t="s">
        <v>2146</v>
      </c>
      <c r="B35" s="1">
        <v>900</v>
      </c>
      <c r="C35" s="33">
        <v>0.95299999999999996</v>
      </c>
      <c r="D35" s="33">
        <v>0.95299999999999996</v>
      </c>
      <c r="E35" s="33">
        <v>0.95299999999999996</v>
      </c>
      <c r="F35" s="33">
        <v>7.1</v>
      </c>
      <c r="G35" s="33">
        <v>0.91700000000000004</v>
      </c>
      <c r="H35" s="28">
        <v>3.9258451472191841E-2</v>
      </c>
      <c r="I35" s="1" t="s">
        <v>1631</v>
      </c>
      <c r="J35" s="1" t="s">
        <v>4707</v>
      </c>
      <c r="K35" s="1" t="s">
        <v>4708</v>
      </c>
      <c r="L35" s="1" t="s">
        <v>1631</v>
      </c>
      <c r="M35" s="1" t="s">
        <v>1631</v>
      </c>
    </row>
    <row r="36" spans="1:13" ht="27.4" customHeight="1">
      <c r="A36" s="1" t="s">
        <v>2146</v>
      </c>
      <c r="B36" s="1">
        <v>1000</v>
      </c>
      <c r="C36" s="33">
        <v>0.92400000000000004</v>
      </c>
      <c r="D36" s="33">
        <v>0.92400000000000004</v>
      </c>
      <c r="E36" s="33">
        <v>0.92400000000000004</v>
      </c>
      <c r="F36" s="33">
        <v>7.1</v>
      </c>
      <c r="G36" s="33">
        <v>0.92733333333333334</v>
      </c>
      <c r="H36" s="28">
        <v>-3.5945363048166422E-3</v>
      </c>
      <c r="I36" s="1" t="s">
        <v>1631</v>
      </c>
      <c r="J36" s="1" t="s">
        <v>4707</v>
      </c>
      <c r="K36" s="1" t="s">
        <v>4708</v>
      </c>
      <c r="L36" s="1" t="s">
        <v>1631</v>
      </c>
      <c r="M36" s="1" t="s">
        <v>1631</v>
      </c>
    </row>
    <row r="37" spans="1:13" ht="27.4" customHeight="1">
      <c r="A37" s="1" t="s">
        <v>2146</v>
      </c>
      <c r="B37" s="1">
        <v>1200</v>
      </c>
      <c r="C37" s="33">
        <v>0.90700000000000003</v>
      </c>
      <c r="D37" s="33">
        <v>0.90700000000000003</v>
      </c>
      <c r="E37" s="33">
        <v>0.90700000000000003</v>
      </c>
      <c r="F37" s="33">
        <v>8</v>
      </c>
      <c r="G37" s="33">
        <v>0.94799999999999995</v>
      </c>
      <c r="H37" s="28">
        <v>-4.3248945147679248E-2</v>
      </c>
      <c r="I37" s="1" t="s">
        <v>1631</v>
      </c>
      <c r="J37" s="1" t="s">
        <v>4707</v>
      </c>
      <c r="K37" s="1" t="s">
        <v>4708</v>
      </c>
      <c r="L37" s="1" t="s">
        <v>1631</v>
      </c>
      <c r="M37" s="1" t="s">
        <v>1631</v>
      </c>
    </row>
    <row r="38" spans="1:13" ht="27.4" customHeight="1">
      <c r="A38" s="1" t="s">
        <v>2146</v>
      </c>
      <c r="B38" s="1">
        <v>1400</v>
      </c>
      <c r="C38" s="33">
        <v>0.89200000000000002</v>
      </c>
      <c r="D38" s="33">
        <v>0.89200000000000002</v>
      </c>
      <c r="E38" s="33">
        <v>0.89200000000000002</v>
      </c>
      <c r="F38" s="33">
        <v>8.8000000000000007</v>
      </c>
      <c r="G38" s="33">
        <v>0.90933333333333333</v>
      </c>
      <c r="H38" s="28">
        <v>-1.906158357771259E-2</v>
      </c>
      <c r="I38" s="1" t="s">
        <v>1631</v>
      </c>
      <c r="J38" s="1" t="s">
        <v>4707</v>
      </c>
      <c r="K38" s="1" t="s">
        <v>4708</v>
      </c>
      <c r="L38" s="1" t="s">
        <v>1631</v>
      </c>
      <c r="M38" s="1" t="s">
        <v>1631</v>
      </c>
    </row>
    <row r="39" spans="1:13" ht="27.4" customHeight="1">
      <c r="A39" s="1" t="s">
        <v>2146</v>
      </c>
      <c r="B39" s="1">
        <v>1600</v>
      </c>
      <c r="C39" s="33">
        <v>0.89100000000000001</v>
      </c>
      <c r="D39" s="33">
        <v>0.89100000000000001</v>
      </c>
      <c r="E39" s="33">
        <v>0.89100000000000001</v>
      </c>
      <c r="F39" s="33">
        <v>10</v>
      </c>
      <c r="G39" s="33">
        <v>0.89900000000000002</v>
      </c>
      <c r="H39" s="28">
        <v>-8.8987764182424985E-3</v>
      </c>
      <c r="I39" s="1" t="s">
        <v>1631</v>
      </c>
      <c r="J39" s="1" t="s">
        <v>4707</v>
      </c>
      <c r="K39" s="1" t="s">
        <v>4708</v>
      </c>
      <c r="L39" s="1" t="s">
        <v>1631</v>
      </c>
      <c r="M39" s="1" t="s">
        <v>1631</v>
      </c>
    </row>
    <row r="40" spans="1:13" ht="27.4" customHeight="1">
      <c r="A40" s="1" t="s">
        <v>2146</v>
      </c>
      <c r="B40" s="1">
        <v>1800</v>
      </c>
      <c r="C40" s="33">
        <v>0.88500000000000001</v>
      </c>
      <c r="D40" s="33">
        <v>0.88500000000000001</v>
      </c>
      <c r="E40" s="33">
        <v>0.88500000000000001</v>
      </c>
      <c r="F40" s="33">
        <v>11</v>
      </c>
      <c r="G40" s="33">
        <v>0.91700000000000004</v>
      </c>
      <c r="H40" s="28">
        <v>-3.4896401308615078E-2</v>
      </c>
      <c r="I40" s="1" t="s">
        <v>1631</v>
      </c>
      <c r="J40" s="1" t="s">
        <v>4707</v>
      </c>
      <c r="K40" s="1" t="s">
        <v>4708</v>
      </c>
      <c r="L40" s="1" t="s">
        <v>1631</v>
      </c>
      <c r="M40" s="1" t="s">
        <v>1631</v>
      </c>
    </row>
    <row r="41" spans="1:13" ht="27.4" customHeight="1">
      <c r="A41" s="1" t="s">
        <v>2146</v>
      </c>
      <c r="B41" s="1">
        <v>2000</v>
      </c>
      <c r="C41" s="33">
        <v>0.89100000000000001</v>
      </c>
      <c r="D41" s="33">
        <v>0.89100000000000001</v>
      </c>
      <c r="E41" s="33">
        <v>0.89100000000000001</v>
      </c>
      <c r="F41" s="33">
        <v>12.5</v>
      </c>
      <c r="G41" s="33">
        <v>0.93166666666666664</v>
      </c>
      <c r="H41" s="28">
        <v>-4.3649373881931977E-2</v>
      </c>
      <c r="I41" s="1" t="s">
        <v>1631</v>
      </c>
      <c r="J41" s="1" t="s">
        <v>4707</v>
      </c>
      <c r="K41" s="1" t="s">
        <v>4708</v>
      </c>
      <c r="L41" s="1" t="s">
        <v>1631</v>
      </c>
      <c r="M41" s="1" t="s">
        <v>1631</v>
      </c>
    </row>
    <row r="42" spans="1:13" ht="27.4" customHeight="1">
      <c r="A42" s="1" t="s">
        <v>2146</v>
      </c>
      <c r="B42" s="1">
        <v>2200</v>
      </c>
      <c r="C42" s="33">
        <v>0.9</v>
      </c>
      <c r="D42" s="33">
        <v>0.9</v>
      </c>
      <c r="E42" s="33">
        <v>0.9</v>
      </c>
      <c r="F42" s="33">
        <v>14.2</v>
      </c>
      <c r="G42" s="33">
        <v>0.92666666666666664</v>
      </c>
      <c r="H42" s="28">
        <v>-2.877697841726613E-2</v>
      </c>
      <c r="I42" s="1" t="s">
        <v>1631</v>
      </c>
      <c r="J42" s="1" t="s">
        <v>4707</v>
      </c>
      <c r="K42" s="1" t="s">
        <v>4708</v>
      </c>
      <c r="L42" s="1" t="s">
        <v>1631</v>
      </c>
      <c r="M42" s="1" t="s">
        <v>1631</v>
      </c>
    </row>
    <row r="43" spans="1:13" ht="27.4" customHeight="1">
      <c r="A43" s="1" t="s">
        <v>2145</v>
      </c>
      <c r="B43" s="1">
        <v>80</v>
      </c>
      <c r="C43" s="33">
        <v>1.3129999999999999</v>
      </c>
      <c r="D43" s="33">
        <v>1.3380000000000001</v>
      </c>
      <c r="E43" s="33">
        <v>1.325666666666667</v>
      </c>
      <c r="F43" s="33">
        <v>7.0333333333333341</v>
      </c>
      <c r="G43" s="33">
        <v>1.335</v>
      </c>
      <c r="H43" s="28">
        <v>-6.991260923845089E-3</v>
      </c>
      <c r="I43" s="1" t="s">
        <v>1631</v>
      </c>
      <c r="J43" s="1" t="s">
        <v>4707</v>
      </c>
      <c r="K43" s="1" t="s">
        <v>4708</v>
      </c>
      <c r="L43" s="1" t="s">
        <v>1631</v>
      </c>
      <c r="M43" s="1" t="s">
        <v>1631</v>
      </c>
    </row>
    <row r="44" spans="1:13" ht="27.4" customHeight="1">
      <c r="A44" s="1" t="s">
        <v>2145</v>
      </c>
      <c r="B44" s="1">
        <v>100</v>
      </c>
      <c r="C44" s="33">
        <v>1.2909999999999999</v>
      </c>
      <c r="D44" s="33">
        <v>1.323</v>
      </c>
      <c r="E44" s="33">
        <v>1.307333333333333</v>
      </c>
      <c r="F44" s="33">
        <v>7.2333333333333334</v>
      </c>
      <c r="G44" s="33">
        <v>1.3109999999999999</v>
      </c>
      <c r="H44" s="28">
        <v>-2.796847190439899E-3</v>
      </c>
      <c r="I44" s="1" t="s">
        <v>1631</v>
      </c>
      <c r="J44" s="1" t="s">
        <v>4707</v>
      </c>
      <c r="K44" s="1" t="s">
        <v>4708</v>
      </c>
      <c r="L44" s="1" t="s">
        <v>1631</v>
      </c>
      <c r="M44" s="1" t="s">
        <v>1631</v>
      </c>
    </row>
    <row r="45" spans="1:13" ht="27.4" customHeight="1">
      <c r="A45" s="1" t="s">
        <v>2145</v>
      </c>
      <c r="B45" s="1">
        <v>150</v>
      </c>
      <c r="C45" s="33">
        <v>1.2430000000000001</v>
      </c>
      <c r="D45" s="33">
        <v>1.2909999999999999</v>
      </c>
      <c r="E45" s="33">
        <v>1.2686666666666671</v>
      </c>
      <c r="F45" s="33">
        <v>7.7333333333333334</v>
      </c>
      <c r="G45" s="33">
        <v>1.2709999999999999</v>
      </c>
      <c r="H45" s="28">
        <v>-1.8358248098609749E-3</v>
      </c>
      <c r="I45" s="1" t="s">
        <v>1631</v>
      </c>
      <c r="J45" s="1" t="s">
        <v>4707</v>
      </c>
      <c r="K45" s="1" t="s">
        <v>4708</v>
      </c>
      <c r="L45" s="1" t="s">
        <v>1631</v>
      </c>
      <c r="M45" s="1" t="s">
        <v>1631</v>
      </c>
    </row>
    <row r="46" spans="1:13" ht="27.4" customHeight="1">
      <c r="A46" s="1" t="s">
        <v>2145</v>
      </c>
      <c r="B46" s="1">
        <v>200</v>
      </c>
      <c r="C46" s="33">
        <v>1.2010000000000001</v>
      </c>
      <c r="D46" s="33">
        <v>1.2649999999999999</v>
      </c>
      <c r="E46" s="33">
        <v>1.236666666666667</v>
      </c>
      <c r="F46" s="33">
        <v>8.2000000000000011</v>
      </c>
      <c r="G46" s="33">
        <v>1.2410000000000001</v>
      </c>
      <c r="H46" s="28">
        <v>-3.4918076819770521E-3</v>
      </c>
      <c r="I46" s="1" t="s">
        <v>1631</v>
      </c>
      <c r="J46" s="1" t="s">
        <v>4707</v>
      </c>
      <c r="K46" s="1" t="s">
        <v>4708</v>
      </c>
      <c r="L46" s="1" t="s">
        <v>1631</v>
      </c>
      <c r="M46" s="1" t="s">
        <v>1631</v>
      </c>
    </row>
    <row r="47" spans="1:13" ht="27.4" customHeight="1">
      <c r="A47" s="1" t="s">
        <v>2145</v>
      </c>
      <c r="B47" s="1">
        <v>250</v>
      </c>
      <c r="C47" s="33">
        <v>1.171</v>
      </c>
      <c r="D47" s="33">
        <v>1.244</v>
      </c>
      <c r="E47" s="33">
        <v>1.2116666666666669</v>
      </c>
      <c r="F47" s="33">
        <v>8.7666666666666675</v>
      </c>
      <c r="G47" s="33">
        <v>1.1890000000000001</v>
      </c>
      <c r="H47" s="28">
        <v>1.906363891225115E-2</v>
      </c>
      <c r="I47" s="1" t="s">
        <v>1631</v>
      </c>
      <c r="J47" s="1" t="s">
        <v>4707</v>
      </c>
      <c r="K47" s="1" t="s">
        <v>4708</v>
      </c>
      <c r="L47" s="1" t="s">
        <v>1631</v>
      </c>
      <c r="M47" s="1" t="s">
        <v>1631</v>
      </c>
    </row>
    <row r="48" spans="1:13" ht="27.4" customHeight="1">
      <c r="A48" s="1" t="s">
        <v>2145</v>
      </c>
      <c r="B48" s="1">
        <v>300</v>
      </c>
      <c r="C48" s="33">
        <v>1.1479999999999999</v>
      </c>
      <c r="D48" s="33">
        <v>1.226</v>
      </c>
      <c r="E48" s="33">
        <v>1.1916666666666671</v>
      </c>
      <c r="F48" s="33">
        <v>9.3333333333333339</v>
      </c>
      <c r="G48" s="33">
        <v>1.149</v>
      </c>
      <c r="H48" s="28">
        <v>3.7133739483608902E-2</v>
      </c>
      <c r="I48" s="1" t="s">
        <v>1631</v>
      </c>
      <c r="J48" s="1" t="s">
        <v>4707</v>
      </c>
      <c r="K48" s="1" t="s">
        <v>4708</v>
      </c>
      <c r="L48" s="1" t="s">
        <v>1631</v>
      </c>
      <c r="M48" s="1" t="s">
        <v>1631</v>
      </c>
    </row>
    <row r="49" spans="1:13" ht="27.4" customHeight="1">
      <c r="A49" s="1" t="s">
        <v>2145</v>
      </c>
      <c r="B49" s="1">
        <v>350</v>
      </c>
      <c r="C49" s="33">
        <v>1.129</v>
      </c>
      <c r="D49" s="33">
        <v>1.2110000000000001</v>
      </c>
      <c r="E49" s="33">
        <v>1.175</v>
      </c>
      <c r="F49" s="33">
        <v>9.9333333333333336</v>
      </c>
      <c r="G49" s="33">
        <v>1.131</v>
      </c>
      <c r="H49" s="28">
        <v>3.8903625110521693E-2</v>
      </c>
      <c r="I49" s="1" t="s">
        <v>1631</v>
      </c>
      <c r="J49" s="1" t="s">
        <v>4707</v>
      </c>
      <c r="K49" s="1" t="s">
        <v>4708</v>
      </c>
      <c r="L49" s="1" t="s">
        <v>1631</v>
      </c>
      <c r="M49" s="1" t="s">
        <v>1631</v>
      </c>
    </row>
    <row r="50" spans="1:13" ht="27.4" customHeight="1">
      <c r="A50" s="1" t="s">
        <v>2145</v>
      </c>
      <c r="B50" s="1">
        <v>400</v>
      </c>
      <c r="C50" s="33">
        <v>1.113</v>
      </c>
      <c r="D50" s="33">
        <v>1.198</v>
      </c>
      <c r="E50" s="33">
        <v>1.160666666666667</v>
      </c>
      <c r="F50" s="33">
        <v>10.5</v>
      </c>
      <c r="G50" s="33">
        <v>1.131</v>
      </c>
      <c r="H50" s="28">
        <v>2.6230474506336629E-2</v>
      </c>
      <c r="I50" s="1" t="s">
        <v>1631</v>
      </c>
      <c r="J50" s="1" t="s">
        <v>4707</v>
      </c>
      <c r="K50" s="1" t="s">
        <v>4708</v>
      </c>
      <c r="L50" s="1" t="s">
        <v>1631</v>
      </c>
      <c r="M50" s="1" t="s">
        <v>1631</v>
      </c>
    </row>
    <row r="51" spans="1:13" ht="27.4" customHeight="1">
      <c r="A51" s="1" t="s">
        <v>2145</v>
      </c>
      <c r="B51" s="1">
        <v>450</v>
      </c>
      <c r="C51" s="33">
        <v>1.099</v>
      </c>
      <c r="D51" s="33">
        <v>1.1870000000000001</v>
      </c>
      <c r="E51" s="33">
        <v>1.148333333333333</v>
      </c>
      <c r="F51" s="33">
        <v>11.1</v>
      </c>
      <c r="G51" s="33">
        <v>1.119</v>
      </c>
      <c r="H51" s="28">
        <v>2.6213881441763572E-2</v>
      </c>
      <c r="I51" s="1" t="s">
        <v>1631</v>
      </c>
      <c r="J51" s="1" t="s">
        <v>4707</v>
      </c>
      <c r="K51" s="1" t="s">
        <v>4708</v>
      </c>
      <c r="L51" s="1" t="s">
        <v>1631</v>
      </c>
      <c r="M51" s="1" t="s">
        <v>1631</v>
      </c>
    </row>
    <row r="52" spans="1:13" ht="27.4" customHeight="1">
      <c r="A52" s="1" t="s">
        <v>2145</v>
      </c>
      <c r="B52" s="1">
        <v>500</v>
      </c>
      <c r="C52" s="33">
        <v>1.087</v>
      </c>
      <c r="D52" s="33">
        <v>1.177</v>
      </c>
      <c r="E52" s="33">
        <v>1.1373333333333331</v>
      </c>
      <c r="F52" s="33">
        <v>11.66666666666667</v>
      </c>
      <c r="G52" s="33">
        <v>1.109</v>
      </c>
      <c r="H52" s="28">
        <v>2.5548542230237441E-2</v>
      </c>
      <c r="I52" s="1" t="s">
        <v>1631</v>
      </c>
      <c r="J52" s="1" t="s">
        <v>4707</v>
      </c>
      <c r="K52" s="1" t="s">
        <v>4708</v>
      </c>
      <c r="L52" s="1" t="s">
        <v>1631</v>
      </c>
      <c r="M52" s="1" t="s">
        <v>1631</v>
      </c>
    </row>
    <row r="53" spans="1:13" ht="27.4" customHeight="1">
      <c r="A53" s="1" t="s">
        <v>2145</v>
      </c>
      <c r="B53" s="1">
        <v>600</v>
      </c>
      <c r="C53" s="33">
        <v>1.0669999999999999</v>
      </c>
      <c r="D53" s="33">
        <v>1.161</v>
      </c>
      <c r="E53" s="33">
        <v>1.1193333333333331</v>
      </c>
      <c r="F53" s="33">
        <v>12.83333333333333</v>
      </c>
      <c r="G53" s="33">
        <v>1.091</v>
      </c>
      <c r="H53" s="28">
        <v>2.597005805071799E-2</v>
      </c>
      <c r="I53" s="1" t="s">
        <v>1631</v>
      </c>
      <c r="J53" s="1" t="s">
        <v>4707</v>
      </c>
      <c r="K53" s="1" t="s">
        <v>4708</v>
      </c>
      <c r="L53" s="1" t="s">
        <v>1631</v>
      </c>
      <c r="M53" s="1" t="s">
        <v>1631</v>
      </c>
    </row>
    <row r="54" spans="1:13" ht="27.4" customHeight="1">
      <c r="A54" s="1" t="s">
        <v>2145</v>
      </c>
      <c r="B54" s="1">
        <v>700</v>
      </c>
      <c r="C54" s="33">
        <v>1.0509999999999999</v>
      </c>
      <c r="D54" s="33">
        <v>1.1479999999999999</v>
      </c>
      <c r="E54" s="33">
        <v>1.105</v>
      </c>
      <c r="F54" s="33">
        <v>14</v>
      </c>
      <c r="G54" s="33">
        <v>1.0840000000000001</v>
      </c>
      <c r="H54" s="28">
        <v>1.937269372693718E-2</v>
      </c>
      <c r="I54" s="1" t="s">
        <v>1631</v>
      </c>
      <c r="J54" s="1" t="s">
        <v>4707</v>
      </c>
      <c r="K54" s="1" t="s">
        <v>4708</v>
      </c>
      <c r="L54" s="1" t="s">
        <v>1631</v>
      </c>
      <c r="M54" s="1" t="s">
        <v>1631</v>
      </c>
    </row>
    <row r="55" spans="1:13" ht="27.4" customHeight="1">
      <c r="A55" s="1" t="s">
        <v>2145</v>
      </c>
      <c r="B55" s="1">
        <v>800</v>
      </c>
      <c r="C55" s="33">
        <v>1.0389999999999999</v>
      </c>
      <c r="D55" s="33">
        <v>1.137</v>
      </c>
      <c r="E55" s="33">
        <v>1.093666666666667</v>
      </c>
      <c r="F55" s="33">
        <v>15.16666666666667</v>
      </c>
      <c r="G55" s="33">
        <v>1.077</v>
      </c>
      <c r="H55" s="28">
        <v>1.547508511296807E-2</v>
      </c>
      <c r="I55" s="1" t="s">
        <v>1631</v>
      </c>
      <c r="J55" s="1" t="s">
        <v>4707</v>
      </c>
      <c r="K55" s="1" t="s">
        <v>4708</v>
      </c>
      <c r="L55" s="1" t="s">
        <v>1631</v>
      </c>
      <c r="M55" s="1" t="s">
        <v>1631</v>
      </c>
    </row>
    <row r="56" spans="1:13" ht="27.4" customHeight="1">
      <c r="A56" s="1" t="s">
        <v>2145</v>
      </c>
      <c r="B56" s="1">
        <v>900</v>
      </c>
      <c r="C56" s="33">
        <v>1.028</v>
      </c>
      <c r="D56" s="33">
        <v>1.1279999999999999</v>
      </c>
      <c r="E56" s="33">
        <v>1.083666666666667</v>
      </c>
      <c r="F56" s="33">
        <v>16.333333333333329</v>
      </c>
      <c r="G56" s="33">
        <v>1.07</v>
      </c>
      <c r="H56" s="28">
        <v>1.2772585669781769E-2</v>
      </c>
      <c r="I56" s="1" t="s">
        <v>1631</v>
      </c>
      <c r="J56" s="1" t="s">
        <v>4707</v>
      </c>
      <c r="K56" s="1" t="s">
        <v>4708</v>
      </c>
      <c r="L56" s="1" t="s">
        <v>1631</v>
      </c>
      <c r="M56" s="1" t="s">
        <v>1631</v>
      </c>
    </row>
    <row r="57" spans="1:13" ht="27.4" customHeight="1">
      <c r="A57" s="1" t="s">
        <v>2145</v>
      </c>
      <c r="B57" s="1">
        <v>1000</v>
      </c>
      <c r="C57" s="33">
        <v>1.0189999999999999</v>
      </c>
      <c r="D57" s="33">
        <v>1.121</v>
      </c>
      <c r="E57" s="33">
        <v>1.075666666666667</v>
      </c>
      <c r="F57" s="33">
        <v>17.5</v>
      </c>
      <c r="G57" s="33">
        <v>1.0669999999999999</v>
      </c>
      <c r="H57" s="28">
        <v>8.1224617307090914E-3</v>
      </c>
      <c r="I57" s="1" t="s">
        <v>1631</v>
      </c>
      <c r="J57" s="1" t="s">
        <v>4707</v>
      </c>
      <c r="K57" s="1" t="s">
        <v>4708</v>
      </c>
      <c r="L57" s="1" t="s">
        <v>1631</v>
      </c>
      <c r="M57" s="1" t="s">
        <v>1631</v>
      </c>
    </row>
    <row r="58" spans="1:13" ht="27.4" customHeight="1">
      <c r="A58" s="1" t="s">
        <v>2145</v>
      </c>
      <c r="B58" s="1">
        <v>1100</v>
      </c>
      <c r="C58" s="33">
        <v>1.012</v>
      </c>
      <c r="D58" s="33">
        <v>1.1140000000000001</v>
      </c>
      <c r="E58" s="33">
        <v>1.0686666666666671</v>
      </c>
      <c r="F58" s="33">
        <v>18.666666666666671</v>
      </c>
      <c r="G58" s="33">
        <v>1.0640000000000001</v>
      </c>
      <c r="H58" s="28">
        <v>4.3859649122808446E-3</v>
      </c>
      <c r="I58" s="1" t="s">
        <v>1631</v>
      </c>
      <c r="J58" s="1" t="s">
        <v>4707</v>
      </c>
      <c r="K58" s="1" t="s">
        <v>4708</v>
      </c>
      <c r="L58" s="1" t="s">
        <v>1631</v>
      </c>
      <c r="M58" s="1" t="s">
        <v>1631</v>
      </c>
    </row>
    <row r="59" spans="1:13" ht="27.4" customHeight="1">
      <c r="A59" s="1" t="s">
        <v>2145</v>
      </c>
      <c r="B59" s="1">
        <v>1200</v>
      </c>
      <c r="C59" s="33">
        <v>1.0049999999999999</v>
      </c>
      <c r="D59" s="33">
        <v>1.1080000000000001</v>
      </c>
      <c r="E59" s="33">
        <v>1.0623333333333329</v>
      </c>
      <c r="F59" s="33">
        <v>19.833333333333329</v>
      </c>
      <c r="G59" s="33">
        <v>1.0609999999999999</v>
      </c>
      <c r="H59" s="28">
        <v>1.256676091737426E-3</v>
      </c>
      <c r="I59" s="1" t="s">
        <v>1631</v>
      </c>
      <c r="J59" s="1" t="s">
        <v>4707</v>
      </c>
      <c r="K59" s="1" t="s">
        <v>4708</v>
      </c>
      <c r="L59" s="1" t="s">
        <v>1631</v>
      </c>
      <c r="M59" s="1" t="s">
        <v>1631</v>
      </c>
    </row>
    <row r="60" spans="1:13" ht="27.4" customHeight="1">
      <c r="A60" s="1" t="s">
        <v>2145</v>
      </c>
      <c r="B60" s="1">
        <v>1400</v>
      </c>
      <c r="C60" s="33">
        <v>0.99399999999999999</v>
      </c>
      <c r="D60" s="33">
        <v>1.099</v>
      </c>
      <c r="E60" s="33">
        <v>1.0523333333333329</v>
      </c>
      <c r="F60" s="33">
        <v>22.166666666666671</v>
      </c>
      <c r="G60" s="33">
        <v>1.0529999999999999</v>
      </c>
      <c r="H60" s="28">
        <v>-6.3311174422278562E-4</v>
      </c>
      <c r="I60" s="1" t="s">
        <v>1631</v>
      </c>
      <c r="J60" s="1" t="s">
        <v>4707</v>
      </c>
      <c r="K60" s="1" t="s">
        <v>4708</v>
      </c>
      <c r="L60" s="1" t="s">
        <v>1631</v>
      </c>
      <c r="M60" s="1" t="s">
        <v>1631</v>
      </c>
    </row>
    <row r="61" spans="1:13" ht="27.4" customHeight="1">
      <c r="A61" s="1" t="s">
        <v>2145</v>
      </c>
      <c r="B61" s="1">
        <v>1600</v>
      </c>
      <c r="C61" s="33">
        <v>0.98599999999999999</v>
      </c>
      <c r="D61" s="33">
        <v>1.0920000000000001</v>
      </c>
      <c r="E61" s="33">
        <v>1.0446666666666671</v>
      </c>
      <c r="F61" s="33">
        <v>24.5</v>
      </c>
      <c r="G61" s="33">
        <v>1.0489999999999999</v>
      </c>
      <c r="H61" s="28">
        <v>-4.1309183349219052E-3</v>
      </c>
      <c r="I61" s="1" t="s">
        <v>1631</v>
      </c>
      <c r="J61" s="1" t="s">
        <v>4707</v>
      </c>
      <c r="K61" s="1" t="s">
        <v>4708</v>
      </c>
      <c r="L61" s="1" t="s">
        <v>1631</v>
      </c>
      <c r="M61" s="1" t="s">
        <v>1631</v>
      </c>
    </row>
    <row r="62" spans="1:13" ht="27.4" customHeight="1">
      <c r="A62" s="1" t="s">
        <v>21</v>
      </c>
      <c r="B62" s="1">
        <v>80</v>
      </c>
      <c r="C62" s="33">
        <v>1.2729999999999999</v>
      </c>
      <c r="D62" s="33">
        <v>1.3080000000000001</v>
      </c>
      <c r="E62" s="33">
        <v>1.2895000000000001</v>
      </c>
      <c r="F62" s="33">
        <v>8.4250000000000007</v>
      </c>
      <c r="G62" s="33">
        <v>1.3048</v>
      </c>
      <c r="H62" s="28">
        <v>-1.1725935009196879E-2</v>
      </c>
      <c r="I62" s="1" t="s">
        <v>1631</v>
      </c>
      <c r="J62" s="1" t="s">
        <v>4707</v>
      </c>
      <c r="K62" s="1" t="s">
        <v>4708</v>
      </c>
      <c r="L62" s="1" t="s">
        <v>1631</v>
      </c>
      <c r="M62" s="1" t="s">
        <v>1631</v>
      </c>
    </row>
    <row r="63" spans="1:13" ht="27.4" customHeight="1">
      <c r="A63" s="1" t="s">
        <v>21</v>
      </c>
      <c r="B63" s="1">
        <v>100</v>
      </c>
      <c r="C63" s="33">
        <v>1.25</v>
      </c>
      <c r="D63" s="33">
        <v>1.2909999999999999</v>
      </c>
      <c r="E63" s="33">
        <v>1.2695000000000001</v>
      </c>
      <c r="F63" s="33">
        <v>8.8249999999999993</v>
      </c>
      <c r="G63" s="33">
        <v>1.28</v>
      </c>
      <c r="H63" s="28">
        <v>-8.2031250000001374E-3</v>
      </c>
      <c r="I63" s="1" t="s">
        <v>1631</v>
      </c>
      <c r="J63" s="1" t="s">
        <v>4707</v>
      </c>
      <c r="K63" s="1" t="s">
        <v>4708</v>
      </c>
      <c r="L63" s="1" t="s">
        <v>1631</v>
      </c>
      <c r="M63" s="1" t="s">
        <v>1631</v>
      </c>
    </row>
    <row r="64" spans="1:13" ht="27.4" customHeight="1">
      <c r="A64" s="1" t="s">
        <v>21</v>
      </c>
      <c r="B64" s="1">
        <v>150</v>
      </c>
      <c r="C64" s="33">
        <v>1.2050000000000001</v>
      </c>
      <c r="D64" s="33">
        <v>1.2549999999999999</v>
      </c>
      <c r="E64" s="33">
        <v>1.22875</v>
      </c>
      <c r="F64" s="33">
        <v>9.8000000000000007</v>
      </c>
      <c r="G64" s="33">
        <v>1.2410000000000001</v>
      </c>
      <c r="H64" s="28">
        <v>-9.8710717163578519E-3</v>
      </c>
      <c r="I64" s="1" t="s">
        <v>1631</v>
      </c>
      <c r="J64" s="1" t="s">
        <v>4707</v>
      </c>
      <c r="K64" s="1" t="s">
        <v>4708</v>
      </c>
      <c r="L64" s="1" t="s">
        <v>1631</v>
      </c>
      <c r="M64" s="1" t="s">
        <v>1631</v>
      </c>
    </row>
    <row r="65" spans="1:13" ht="27.4" customHeight="1">
      <c r="A65" s="1" t="s">
        <v>21</v>
      </c>
      <c r="B65" s="1">
        <v>200</v>
      </c>
      <c r="C65" s="33">
        <v>1.173</v>
      </c>
      <c r="D65" s="33">
        <v>1.228</v>
      </c>
      <c r="E65" s="33">
        <v>1.1984999999999999</v>
      </c>
      <c r="F65" s="33">
        <v>10.775</v>
      </c>
      <c r="G65" s="33">
        <v>1.2010000000000001</v>
      </c>
      <c r="H65" s="28">
        <v>-2.0815986677768079E-3</v>
      </c>
      <c r="I65" s="1" t="s">
        <v>1631</v>
      </c>
      <c r="J65" s="1" t="s">
        <v>4707</v>
      </c>
      <c r="K65" s="1" t="s">
        <v>4708</v>
      </c>
      <c r="L65" s="1" t="s">
        <v>1631</v>
      </c>
      <c r="M65" s="1" t="s">
        <v>1631</v>
      </c>
    </row>
    <row r="66" spans="1:13" ht="27.4" customHeight="1">
      <c r="A66" s="1" t="s">
        <v>21</v>
      </c>
      <c r="B66" s="1">
        <v>250</v>
      </c>
      <c r="C66" s="33">
        <v>1.1459999999999999</v>
      </c>
      <c r="D66" s="33">
        <v>1.2070000000000001</v>
      </c>
      <c r="E66" s="33">
        <v>1.17425</v>
      </c>
      <c r="F66" s="33">
        <v>11.75</v>
      </c>
      <c r="G66" s="33">
        <v>1.18</v>
      </c>
      <c r="H66" s="28">
        <v>-4.872881355932137E-3</v>
      </c>
      <c r="I66" s="1" t="s">
        <v>1631</v>
      </c>
      <c r="J66" s="1" t="s">
        <v>4707</v>
      </c>
      <c r="K66" s="1" t="s">
        <v>4708</v>
      </c>
      <c r="L66" s="1" t="s">
        <v>1631</v>
      </c>
      <c r="M66" s="1" t="s">
        <v>1631</v>
      </c>
    </row>
    <row r="67" spans="1:13" ht="27.4" customHeight="1">
      <c r="A67" s="1" t="s">
        <v>21</v>
      </c>
      <c r="B67" s="1">
        <v>300</v>
      </c>
      <c r="C67" s="33">
        <v>1.125</v>
      </c>
      <c r="D67" s="33">
        <v>1.19</v>
      </c>
      <c r="E67" s="33">
        <v>1.155</v>
      </c>
      <c r="F67" s="33">
        <v>12.725</v>
      </c>
      <c r="G67" s="33">
        <v>1.149</v>
      </c>
      <c r="H67" s="28">
        <v>5.2219321148825109E-3</v>
      </c>
      <c r="I67" s="1" t="s">
        <v>1631</v>
      </c>
      <c r="J67" s="1" t="s">
        <v>4707</v>
      </c>
      <c r="K67" s="1" t="s">
        <v>4708</v>
      </c>
      <c r="L67" s="1" t="s">
        <v>1631</v>
      </c>
      <c r="M67" s="1" t="s">
        <v>1631</v>
      </c>
    </row>
    <row r="68" spans="1:13" ht="27.4" customHeight="1">
      <c r="A68" s="1" t="s">
        <v>21</v>
      </c>
      <c r="B68" s="1">
        <v>350</v>
      </c>
      <c r="C68" s="33">
        <v>1.109</v>
      </c>
      <c r="D68" s="33">
        <v>1.1459999999999999</v>
      </c>
      <c r="E68" s="33">
        <v>1.127666666666667</v>
      </c>
      <c r="F68" s="33">
        <v>12.83333333333333</v>
      </c>
      <c r="G68" s="33">
        <v>1.1399999999999999</v>
      </c>
      <c r="H68" s="28">
        <v>-1.081871345029238E-2</v>
      </c>
      <c r="I68" s="1" t="s">
        <v>1631</v>
      </c>
      <c r="J68" s="1" t="s">
        <v>4707</v>
      </c>
      <c r="K68" s="1" t="s">
        <v>4708</v>
      </c>
      <c r="L68" s="1" t="s">
        <v>1631</v>
      </c>
      <c r="M68" s="1" t="s">
        <v>1631</v>
      </c>
    </row>
    <row r="69" spans="1:13" ht="27.4" customHeight="1">
      <c r="A69" s="1" t="s">
        <v>21</v>
      </c>
      <c r="B69" s="1">
        <v>400</v>
      </c>
      <c r="C69" s="33">
        <v>1.095</v>
      </c>
      <c r="D69" s="33">
        <v>1.133</v>
      </c>
      <c r="E69" s="33">
        <v>1.1146666666666669</v>
      </c>
      <c r="F69" s="33">
        <v>13.766666666666669</v>
      </c>
      <c r="G69" s="33">
        <v>1.119</v>
      </c>
      <c r="H69" s="28">
        <v>-3.8725052129877568E-3</v>
      </c>
      <c r="I69" s="1" t="s">
        <v>1631</v>
      </c>
      <c r="J69" s="1" t="s">
        <v>4707</v>
      </c>
      <c r="K69" s="1" t="s">
        <v>4708</v>
      </c>
      <c r="L69" s="1" t="s">
        <v>1631</v>
      </c>
      <c r="M69" s="1" t="s">
        <v>1631</v>
      </c>
    </row>
    <row r="70" spans="1:13" ht="27.4" customHeight="1">
      <c r="A70" s="1" t="s">
        <v>21</v>
      </c>
      <c r="B70" s="1">
        <v>450</v>
      </c>
      <c r="C70" s="33">
        <v>1.0820000000000001</v>
      </c>
      <c r="D70" s="33">
        <v>1.1220000000000001</v>
      </c>
      <c r="E70" s="33">
        <v>1.1026666666666669</v>
      </c>
      <c r="F70" s="33">
        <v>14.66666666666667</v>
      </c>
      <c r="G70" s="33">
        <v>1.109</v>
      </c>
      <c r="H70" s="28">
        <v>-5.710850616170696E-3</v>
      </c>
      <c r="I70" s="1" t="s">
        <v>1631</v>
      </c>
      <c r="J70" s="1" t="s">
        <v>4707</v>
      </c>
      <c r="K70" s="1" t="s">
        <v>4708</v>
      </c>
      <c r="L70" s="1" t="s">
        <v>1631</v>
      </c>
      <c r="M70" s="1" t="s">
        <v>1631</v>
      </c>
    </row>
    <row r="71" spans="1:13" ht="27.4" customHeight="1">
      <c r="A71" s="1" t="s">
        <v>21</v>
      </c>
      <c r="B71" s="1">
        <v>500</v>
      </c>
      <c r="C71" s="33">
        <v>1.0740000000000001</v>
      </c>
      <c r="D71" s="33">
        <v>1.113</v>
      </c>
      <c r="E71" s="33">
        <v>1.093666666666667</v>
      </c>
      <c r="F71" s="33">
        <v>15.6</v>
      </c>
      <c r="G71" s="33">
        <v>1.1000000000000001</v>
      </c>
      <c r="H71" s="28">
        <v>-5.7575757575757287E-3</v>
      </c>
      <c r="I71" s="1" t="s">
        <v>1631</v>
      </c>
      <c r="J71" s="1" t="s">
        <v>4707</v>
      </c>
      <c r="K71" s="1" t="s">
        <v>4708</v>
      </c>
      <c r="L71" s="1" t="s">
        <v>1631</v>
      </c>
      <c r="M71" s="1" t="s">
        <v>1631</v>
      </c>
    </row>
    <row r="72" spans="1:13" ht="27.4" customHeight="1">
      <c r="A72" s="1" t="s">
        <v>21</v>
      </c>
      <c r="B72" s="1">
        <v>600</v>
      </c>
      <c r="C72" s="33">
        <v>1.056</v>
      </c>
      <c r="D72" s="33">
        <v>1.0980000000000001</v>
      </c>
      <c r="E72" s="33">
        <v>1.077333333333333</v>
      </c>
      <c r="F72" s="33">
        <v>17.399999999999999</v>
      </c>
      <c r="G72" s="33">
        <v>1.079</v>
      </c>
      <c r="H72" s="28">
        <v>-1.5446400988567959E-3</v>
      </c>
      <c r="I72" s="1" t="s">
        <v>1631</v>
      </c>
      <c r="J72" s="1" t="s">
        <v>4707</v>
      </c>
      <c r="K72" s="1" t="s">
        <v>4708</v>
      </c>
      <c r="L72" s="1" t="s">
        <v>1631</v>
      </c>
      <c r="M72" s="1" t="s">
        <v>1631</v>
      </c>
    </row>
    <row r="73" spans="1:13" ht="27.4" customHeight="1">
      <c r="A73" s="1" t="s">
        <v>21</v>
      </c>
      <c r="B73" s="1">
        <v>700</v>
      </c>
      <c r="C73" s="33">
        <v>1.044</v>
      </c>
      <c r="D73" s="33">
        <v>1.0860000000000001</v>
      </c>
      <c r="E73" s="33">
        <v>1.065666666666667</v>
      </c>
      <c r="F73" s="33">
        <v>19.266666666666669</v>
      </c>
      <c r="G73" s="33">
        <v>1.073</v>
      </c>
      <c r="H73" s="28">
        <v>-6.8344206275239442E-3</v>
      </c>
      <c r="I73" s="1" t="s">
        <v>1631</v>
      </c>
      <c r="J73" s="1" t="s">
        <v>4707</v>
      </c>
      <c r="K73" s="1" t="s">
        <v>4708</v>
      </c>
      <c r="L73" s="1" t="s">
        <v>1631</v>
      </c>
      <c r="M73" s="1" t="s">
        <v>1631</v>
      </c>
    </row>
    <row r="74" spans="1:13">
      <c r="A74" s="1"/>
      <c r="B74" s="1"/>
      <c r="C74" s="1"/>
      <c r="D74" s="1"/>
      <c r="E74" s="1"/>
      <c r="F74" s="1"/>
      <c r="G74" s="1"/>
      <c r="H74" s="1"/>
      <c r="I74" s="1"/>
      <c r="J74" s="1"/>
      <c r="K74" s="1"/>
      <c r="L74" s="1"/>
      <c r="M74" s="1"/>
    </row>
    <row r="75" spans="1:13">
      <c r="A75" s="157" t="s">
        <v>4709</v>
      </c>
      <c r="B75" s="120"/>
      <c r="C75" s="120"/>
      <c r="D75" s="120"/>
      <c r="E75" s="120"/>
      <c r="F75" s="120"/>
      <c r="G75" s="120"/>
      <c r="H75" s="120"/>
      <c r="I75" s="120"/>
      <c r="J75" s="120"/>
      <c r="K75" s="120"/>
      <c r="L75" s="120"/>
      <c r="M75" s="120"/>
    </row>
    <row r="76" spans="1:13" ht="68.45" customHeight="1">
      <c r="A76" s="1" t="s">
        <v>4710</v>
      </c>
      <c r="B76" s="1" t="s">
        <v>4711</v>
      </c>
      <c r="C76" s="1"/>
      <c r="D76" s="1"/>
      <c r="E76" s="1"/>
      <c r="F76" s="1"/>
      <c r="G76" s="1"/>
      <c r="H76" s="1"/>
      <c r="I76" s="1"/>
      <c r="J76" s="1"/>
      <c r="K76" s="1"/>
      <c r="L76" s="1"/>
      <c r="M76" s="1"/>
    </row>
    <row r="77" spans="1:13" ht="109.35" customHeight="1">
      <c r="A77" s="1" t="s">
        <v>4712</v>
      </c>
      <c r="B77" s="1" t="s">
        <v>4713</v>
      </c>
      <c r="C77" s="1"/>
      <c r="D77" s="1"/>
      <c r="E77" s="1"/>
      <c r="F77" s="1"/>
      <c r="G77" s="1"/>
      <c r="H77" s="1"/>
      <c r="I77" s="1"/>
      <c r="J77" s="1"/>
      <c r="K77" s="1"/>
      <c r="L77" s="1"/>
      <c r="M77" s="1"/>
    </row>
    <row r="78" spans="1:13" ht="54.75" customHeight="1">
      <c r="A78" s="1" t="s">
        <v>4714</v>
      </c>
      <c r="B78" s="1" t="s">
        <v>4715</v>
      </c>
      <c r="C78" s="1"/>
      <c r="D78" s="1"/>
      <c r="E78" s="1"/>
      <c r="F78" s="1"/>
      <c r="G78" s="1"/>
      <c r="H78" s="1"/>
      <c r="I78" s="1"/>
      <c r="J78" s="1"/>
      <c r="K78" s="1"/>
      <c r="L78" s="1"/>
      <c r="M78" s="1"/>
    </row>
    <row r="79" spans="1:13" ht="54.75" customHeight="1">
      <c r="A79" s="1" t="s">
        <v>4716</v>
      </c>
      <c r="B79" s="1" t="s">
        <v>4717</v>
      </c>
      <c r="C79" s="1"/>
      <c r="D79" s="1"/>
      <c r="E79" s="1"/>
      <c r="F79" s="1"/>
      <c r="G79" s="1"/>
      <c r="H79" s="1"/>
      <c r="I79" s="1"/>
      <c r="J79" s="1"/>
      <c r="K79" s="1"/>
      <c r="L79" s="1"/>
      <c r="M79" s="1"/>
    </row>
    <row r="80" spans="1:13" ht="123" customHeight="1">
      <c r="A80" s="1" t="s">
        <v>4718</v>
      </c>
      <c r="B80" s="1" t="s">
        <v>4719</v>
      </c>
      <c r="C80" s="1"/>
      <c r="D80" s="1"/>
      <c r="E80" s="1"/>
      <c r="F80" s="1"/>
      <c r="G80" s="1"/>
      <c r="H80" s="1"/>
      <c r="I80" s="1"/>
      <c r="J80" s="1"/>
      <c r="K80" s="1"/>
      <c r="L80" s="1"/>
      <c r="M80" s="1"/>
    </row>
    <row r="81" spans="1:13" ht="218.65" customHeight="1">
      <c r="A81" s="1" t="s">
        <v>1146</v>
      </c>
      <c r="B81" s="1" t="s">
        <v>4720</v>
      </c>
      <c r="C81" s="1"/>
      <c r="D81" s="1"/>
      <c r="E81" s="1"/>
      <c r="F81" s="1"/>
      <c r="G81" s="1"/>
      <c r="H81" s="1"/>
      <c r="I81" s="1"/>
      <c r="J81" s="1"/>
      <c r="K81" s="1"/>
      <c r="L81" s="1"/>
      <c r="M81" s="1"/>
    </row>
  </sheetData>
  <sheetProtection password="FE3F" sheet="1" objects="1" scenarios="1" formatRows="0"/>
  <mergeCells count="2">
    <mergeCell ref="A1:M1"/>
    <mergeCell ref="A75:M7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64B77656A1CC4FB3E960B64B03113D" ma:contentTypeVersion="12" ma:contentTypeDescription="Create a new document." ma:contentTypeScope="" ma:versionID="6f969facb090604d9515a5763670b49c">
  <xsd:schema xmlns:xsd="http://www.w3.org/2001/XMLSchema" xmlns:xs="http://www.w3.org/2001/XMLSchema" xmlns:p="http://schemas.microsoft.com/office/2006/metadata/properties" xmlns:ns2="b3989faf-0a10-44ae-8a64-a6f85e1335fa" xmlns:ns3="d8b72458-0e43-4478-af5d-d8431b4ffd9f" targetNamespace="http://schemas.microsoft.com/office/2006/metadata/properties" ma:root="true" ma:fieldsID="15d420b0ac79b02c1423fbc72db71c7e" ns2:_="" ns3:_="">
    <xsd:import namespace="b3989faf-0a10-44ae-8a64-a6f85e1335fa"/>
    <xsd:import namespace="d8b72458-0e43-4478-af5d-d8431b4ffd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989faf-0a10-44ae-8a64-a6f85e1335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e397d66-ba24-4b5b-a781-0b7b9549a3d5"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b72458-0e43-4478-af5d-d8431b4ffd9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a20377-db54-43d9-ba24-724904e78296}" ma:internalName="TaxCatchAll" ma:showField="CatchAllData" ma:web="d8b72458-0e43-4478-af5d-d8431b4ffd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8b72458-0e43-4478-af5d-d8431b4ffd9f" xsi:nil="true"/>
    <lcf76f155ced4ddcb4097134ff3c332f xmlns="b3989faf-0a10-44ae-8a64-a6f85e1335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FEFFED-FEA2-4015-A076-89630CA9E42B}"/>
</file>

<file path=customXml/itemProps2.xml><?xml version="1.0" encoding="utf-8"?>
<ds:datastoreItem xmlns:ds="http://schemas.openxmlformats.org/officeDocument/2006/customXml" ds:itemID="{C9DD8B50-1A6A-4F11-9B2C-BA08D7FC1676}"/>
</file>

<file path=customXml/itemProps3.xml><?xml version="1.0" encoding="utf-8"?>
<ds:datastoreItem xmlns:ds="http://schemas.openxmlformats.org/officeDocument/2006/customXml" ds:itemID="{12C0AEA2-55E2-4CE8-89E7-9526CC1D0A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Dashboard</vt:lpstr>
      <vt:lpstr>Failure Curve</vt:lpstr>
      <vt:lpstr>User Guide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Stuart</dc:creator>
  <cp:lastModifiedBy>Stuart Hamilton</cp:lastModifiedBy>
  <dcterms:created xsi:type="dcterms:W3CDTF">2026-09-11T12:38:44Z</dcterms:created>
  <dcterms:modified xsi:type="dcterms:W3CDTF">2026-10-15T07:09:10Z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0x010100C964B77656A1CC4FB3E960B64B03113D</vt:lpwstr>
  </property>
</Properties>
</file>